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neDrive - Maharashtra State Power Generation Co. Ltd\Share Folder CA Section\RCD\2023-24\"/>
    </mc:Choice>
  </mc:AlternateContent>
  <bookViews>
    <workbookView xWindow="0" yWindow="0" windowWidth="28800" windowHeight="12180" tabRatio="878" firstSheet="3" activeTab="3"/>
  </bookViews>
  <sheets>
    <sheet name="Index" sheetId="135" r:id="rId1"/>
    <sheet name="Balance sheet" sheetId="107" r:id="rId2"/>
    <sheet name="Profit loss" sheetId="108" r:id="rId3"/>
    <sheet name="CashFlow" sheetId="110" r:id="rId4"/>
    <sheet name="3" sheetId="43" r:id="rId5"/>
    <sheet name="4" sheetId="62" r:id="rId6"/>
    <sheet name="5.1" sheetId="105" r:id="rId7"/>
    <sheet name="5.2" sheetId="91" r:id="rId8"/>
    <sheet name="6 &amp; 7" sheetId="92" r:id="rId9"/>
    <sheet name="8" sheetId="85" r:id="rId10"/>
    <sheet name="9" sheetId="29" r:id="rId11"/>
    <sheet name="10" sheetId="118" r:id="rId12"/>
    <sheet name="11" sheetId="124" r:id="rId13"/>
    <sheet name="12" sheetId="22" r:id="rId14"/>
    <sheet name="13" sheetId="23" r:id="rId15"/>
    <sheet name="14" sheetId="120" r:id="rId16"/>
    <sheet name="15" sheetId="26" r:id="rId17"/>
    <sheet name="16 &amp; 17" sheetId="89" r:id="rId18"/>
    <sheet name="18" sheetId="87" r:id="rId19"/>
    <sheet name="19" sheetId="119" r:id="rId20"/>
    <sheet name="20 &amp; 21" sheetId="1" r:id="rId21"/>
    <sheet name="22 &amp; 22.1" sheetId="134" r:id="rId22"/>
    <sheet name="23" sheetId="7" r:id="rId23"/>
    <sheet name="24 &amp; 25" sheetId="11" r:id="rId24"/>
    <sheet name="26" sheetId="93" r:id="rId25"/>
    <sheet name="27" sheetId="9" r:id="rId26"/>
    <sheet name="28 &amp; 29" sheetId="5" r:id="rId27"/>
    <sheet name="30" sheetId="106" r:id="rId28"/>
    <sheet name="BalanceSheet and P&amp;L 23-24" sheetId="136" r:id="rId29"/>
    <sheet name="Balance sheet  &amp; P&amp;L 22-23" sheetId="148" r:id="rId30"/>
    <sheet name="balance sheet grouping" sheetId="137" r:id="rId31"/>
    <sheet name="Profit and Loss Ac grouping" sheetId="138" r:id="rId32"/>
    <sheet name="Statement of changes in equity" sheetId="139" r:id="rId33"/>
    <sheet name="FA Final" sheetId="140" r:id="rId34"/>
    <sheet name="Note 1A" sheetId="141" r:id="rId35"/>
    <sheet name="CFS" sheetId="143" r:id="rId36"/>
    <sheet name="cwip(2)" sheetId="142" r:id="rId37"/>
    <sheet name="Share Capital" sheetId="144" r:id="rId38"/>
    <sheet name="Rep Terms LT" sheetId="145" r:id="rId39"/>
    <sheet name="Rep Terms ST" sheetId="147"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___tog1">#REF!</definedName>
    <definedName name="_____z1">#REF!</definedName>
    <definedName name="___INDEX_SHEET___ASAP_Utilities">Index!$D$3</definedName>
    <definedName name="__123Graph_F" hidden="1">'[1]BALANCE SHEET'!$M$58:$M$67</definedName>
    <definedName name="_083_2014">#REF!</definedName>
    <definedName name="alte2">[2]alte!$C$4:$M$63</definedName>
    <definedName name="alte5">[2]alte!$C$4:$M$63</definedName>
    <definedName name="anand">[3]Sheet3!$D$7</definedName>
    <definedName name="AS2ReportLS" hidden="1">1</definedName>
    <definedName name="AS2SyncStepLS" hidden="1">0</definedName>
    <definedName name="asset1">[4]Sheet2!$A$2:$AH$1408</definedName>
    <definedName name="BG_Mod" hidden="1">6</definedName>
    <definedName name="BHI">[5]Bhivandi!$B$8:$Q$125</definedName>
    <definedName name="Coal_FO_Ldo_CSTPS">#N/A</definedName>
    <definedName name="CURRAPPLI">[6]Settings!$E$9</definedName>
    <definedName name="Currency">'[7]x-rate'!$A$2:$B$10</definedName>
    <definedName name="_xlnm.Database">#REF!</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L_CY_Beg">[8]Links!$F$1:$F$65536</definedName>
    <definedName name="L_CY_End">[8]Links!$J$1:$J$65536</definedName>
    <definedName name="L_PY_End">[8]Links!$K$1:$K$65536</definedName>
    <definedName name="L_RJE_Tot">[8]Links!$I$1:$I$65536</definedName>
    <definedName name="LAC">'[9]Trial Balance - MARCH 2006'!$I$2</definedName>
    <definedName name="paiddba">SUM('[10]pa-mtly'!$O$22:$S$22)</definedName>
    <definedName name="paiddelavan">SUM('[10]pa-mtly'!$O$20:$S$20)</definedName>
    <definedName name="paiddkm51">SUM('[10]pa-mtly'!$O$24:$S$24)</definedName>
    <definedName name="paiddkm52">SUM('[10]pa-mtly'!$O$25:$S$25)</definedName>
    <definedName name="paidemba">SUM('[10]pa-mtly'!$O$30:$S$30)</definedName>
    <definedName name="paidenviro">SUM('[10]pa-mtly'!$O$31:$S$31)</definedName>
    <definedName name="paidflowserve">SUM('[10]pa-mtly'!$O$36:$S$36)</definedName>
    <definedName name="paidfmc">SUM('[10]pa-mtly'!$O$37:$S$37)</definedName>
    <definedName name="paidgeveke149">SUM('[10]pa-mtly'!$O$40:$S$40)</definedName>
    <definedName name="paidgeveke80">SUM('[10]pa-mtly'!$O$39:$S$39)</definedName>
    <definedName name="paidgeveke81">SUM('[10]pa-mtly'!$O$41:$S$41)</definedName>
    <definedName name="paidghhb">SUM('[10]pa-mtly'!$O$42:$S$42)</definedName>
    <definedName name="paidgutor110">SUM('[10]pa-mtly'!$O$46:$S$46)</definedName>
    <definedName name="paidgutor96">SUM('[10]pa-mtly'!$O$45:$S$45)</definedName>
    <definedName name="paidhamw">SUM('[10]pa-mtly'!$O$47:$S$47)</definedName>
    <definedName name="paidheurtey">SUM('[10]pa-mtly'!$O$47:$S$47)</definedName>
    <definedName name="paidhmd">SUM('[10]pa-mtly'!$O$50:$S$50)</definedName>
    <definedName name="paidhydro">SUM('[10]pa-mtly'!$O$54:$S$54)</definedName>
    <definedName name="paidklinger">SUM('[10]pa-mtly'!$O$63:$S$63)</definedName>
    <definedName name="paidkoch">SUM('[10]pa-mtly'!$O$64:$S$64)</definedName>
    <definedName name="paidkuervers">SUM('[10]pa-mtly'!$O$72:$S$72)</definedName>
    <definedName name="paidliebert">SUM('[10]pa-mtly'!$O$76:$S$76)</definedName>
    <definedName name="paidliebherr">SUM('[10]pa-mtly'!$O$75:$S$75)</definedName>
    <definedName name="paidmann">SUM('[10]pa-mtly'!$P$80:$S$80)</definedName>
    <definedName name="paidmrm">SUM('[10]pa-mtly'!$O$88:$S$88)</definedName>
    <definedName name="paidnat">SUM('[10]pa-mtly'!$O$89:$S$89)</definedName>
    <definedName name="paidnp">SUM('[10]pa-mtly'!$O$95:$S$95)</definedName>
    <definedName name="paidods">SUM('[10]pa-mtly'!$O$109:$S$109)</definedName>
    <definedName name="paidoxybel951">SUM('[10]pa-mtly'!$O$118:$S$118)</definedName>
    <definedName name="paidoxybel952">SUM('[10]pa-mtly'!$O$119:$S$119)</definedName>
    <definedName name="paidpirelli">SUM('[10]pa-mtly'!$O$126:$S$126)</definedName>
    <definedName name="paidsafex">SUM('[10]pa-mtly'!$O$130:$S$130)</definedName>
    <definedName name="paidschulz">SUM('[10]pa-mtly'!$O$132:$S$132)</definedName>
    <definedName name="paidsirco">SUM('[10]pa-mtly'!$O$140:$S$140)</definedName>
    <definedName name="paidtaprogge">SUM('[10]pa-mtly'!$O$145:$S$145)</definedName>
    <definedName name="paidthermoheat165">SUM('[10]pa-mtly'!$O$148:$S$148)</definedName>
    <definedName name="paidthermoheat175">SUM('[10]pa-mtly'!$O$149:$S$149)</definedName>
    <definedName name="paidyokogawa">SUM('[10]pa-mtly'!$O$161:$S$161)</definedName>
    <definedName name="paidyork">SUM('[10]pa-mtly'!$O$162:$S$162)</definedName>
    <definedName name="_xlnm.Print_Area" localSheetId="11">'10'!$A$1:$E$16</definedName>
    <definedName name="_xlnm.Print_Area" localSheetId="12">'11'!$A$1:$K$26</definedName>
    <definedName name="_xlnm.Print_Area" localSheetId="13">'12'!$A$1:$E$31</definedName>
    <definedName name="_xlnm.Print_Area" localSheetId="14">'13'!$A$1:$E$49</definedName>
    <definedName name="_xlnm.Print_Area" localSheetId="15">'14'!$A$1:$E$28</definedName>
    <definedName name="_xlnm.Print_Area" localSheetId="16">'15'!$A$1:$E$30</definedName>
    <definedName name="_xlnm.Print_Area" localSheetId="17">'16 &amp; 17'!$A$1:$E$38</definedName>
    <definedName name="_xlnm.Print_Area" localSheetId="18">'18'!$A$1:$E$28</definedName>
    <definedName name="_xlnm.Print_Area" localSheetId="19">'19'!$A$1:$E$48</definedName>
    <definedName name="_xlnm.Print_Area" localSheetId="20">'20 &amp; 21'!$A$1:$E$67</definedName>
    <definedName name="_xlnm.Print_Area" localSheetId="21">'22 &amp; 22.1'!$A$1:$E$33</definedName>
    <definedName name="_xlnm.Print_Area" localSheetId="22">'23'!$A$1:$E$42</definedName>
    <definedName name="_xlnm.Print_Area" localSheetId="23">'24 &amp; 25'!$A$1:$E$49</definedName>
    <definedName name="_xlnm.Print_Area" localSheetId="24">'26'!$A$1:$E$22</definedName>
    <definedName name="_xlnm.Print_Area" localSheetId="25">'27'!$A$1:$E$50</definedName>
    <definedName name="_xlnm.Print_Area" localSheetId="26">'28 &amp; 29'!$A$1:$E$44</definedName>
    <definedName name="_xlnm.Print_Area" localSheetId="4">'3'!$A$1:$E$18</definedName>
    <definedName name="_xlnm.Print_Area" localSheetId="27">'30'!$A$1:$I$18</definedName>
    <definedName name="_xlnm.Print_Area" localSheetId="5">'4'!$A$1:$E$42</definedName>
    <definedName name="_xlnm.Print_Area" localSheetId="6">'5.1'!$A$1:$M$213</definedName>
    <definedName name="_xlnm.Print_Area" localSheetId="7">'5.2'!$A$1:$M$23</definedName>
    <definedName name="_xlnm.Print_Area" localSheetId="8">'6 &amp; 7'!$A$1:$E$33</definedName>
    <definedName name="_xlnm.Print_Area" localSheetId="9">'8'!$A$1:$G$35</definedName>
    <definedName name="_xlnm.Print_Area" localSheetId="10">'9'!$A$1:$E$50</definedName>
    <definedName name="_xlnm.Print_Area" localSheetId="1">'Balance sheet'!$A$1:$G$64</definedName>
    <definedName name="_xlnm.Print_Area" localSheetId="3">CashFlow!$A$1:$F$70</definedName>
    <definedName name="_xlnm.Print_Area" localSheetId="0">Index!$B$3:$E$34</definedName>
    <definedName name="_xlnm.Print_Area" localSheetId="2">'Profit loss'!$A$1:$G$37</definedName>
    <definedName name="_xlnm.Print_Area">#REF!</definedName>
    <definedName name="_xlnm.Print_Titles" localSheetId="27">'30'!$7:$7</definedName>
    <definedName name="_xlnm.Print_Titles">#REF!</definedName>
    <definedName name="ROff">'[11]Instruction Sheet'!$D$33</definedName>
    <definedName name="SL">[12]Details!$D$195</definedName>
    <definedName name="TAName">[13]Masters!$C$20</definedName>
    <definedName name="TAPlace">[13]Masters!$C$43</definedName>
    <definedName name="TaxTV">10%</definedName>
    <definedName name="TaxXL">5%</definedName>
    <definedName name="tb">[14]TRIALBALANCE!$A$5:$H$255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110" l="1"/>
  <c r="E40" i="5" l="1"/>
  <c r="E45" i="11" l="1"/>
  <c r="E24" i="89" l="1"/>
  <c r="M19" i="91" l="1"/>
  <c r="L19" i="91"/>
  <c r="K19" i="91"/>
  <c r="J19" i="91"/>
  <c r="I19" i="91"/>
  <c r="H19" i="91"/>
  <c r="G19" i="91"/>
  <c r="F19" i="91"/>
  <c r="M197" i="105" l="1"/>
  <c r="L197" i="105"/>
  <c r="K197" i="105"/>
  <c r="J197" i="105"/>
  <c r="I197" i="105"/>
  <c r="H197" i="105"/>
  <c r="G197" i="105"/>
  <c r="F197" i="105"/>
  <c r="M191" i="105"/>
  <c r="L191" i="105"/>
  <c r="K191" i="105"/>
  <c r="J191" i="105"/>
  <c r="I191" i="105"/>
  <c r="H191" i="105"/>
  <c r="G191" i="105"/>
  <c r="F191" i="105"/>
  <c r="M57" i="105"/>
  <c r="L57" i="105"/>
  <c r="K57" i="105"/>
  <c r="J57" i="105"/>
  <c r="I57" i="105"/>
  <c r="H57" i="105"/>
  <c r="G57" i="105"/>
  <c r="F57" i="105"/>
  <c r="F200" i="105" l="1"/>
  <c r="G200" i="105"/>
  <c r="H200" i="105"/>
  <c r="I200" i="105"/>
  <c r="J200" i="105"/>
  <c r="K200" i="105"/>
  <c r="L200" i="105"/>
  <c r="M200" i="105"/>
  <c r="G29" i="85" l="1"/>
  <c r="G26" i="85"/>
  <c r="G25" i="85"/>
  <c r="G23" i="85"/>
  <c r="D30" i="5" l="1"/>
  <c r="E56" i="110" l="1"/>
  <c r="E51" i="110"/>
  <c r="D421" i="136"/>
  <c r="D20" i="9" s="1"/>
  <c r="E12" i="11" l="1"/>
  <c r="E11" i="11"/>
  <c r="E17" i="1"/>
  <c r="D17" i="1"/>
  <c r="G42" i="107" l="1"/>
  <c r="F42" i="107"/>
  <c r="E28" i="22"/>
  <c r="D28" i="22"/>
  <c r="E19" i="22"/>
  <c r="D19" i="22"/>
  <c r="E18" i="22"/>
  <c r="D18" i="22"/>
  <c r="E15" i="22"/>
  <c r="D15" i="22"/>
  <c r="E14" i="22"/>
  <c r="D14" i="22"/>
  <c r="E13" i="22"/>
  <c r="D13" i="22"/>
  <c r="E12" i="22"/>
  <c r="D12" i="22"/>
  <c r="E11" i="22"/>
  <c r="E10" i="22"/>
  <c r="D11" i="22"/>
  <c r="D10" i="22"/>
  <c r="D22" i="124"/>
  <c r="F29" i="85" l="1"/>
  <c r="G17" i="107"/>
  <c r="E35" i="62"/>
  <c r="F13" i="107"/>
  <c r="F23" i="85"/>
  <c r="E15" i="43" l="1"/>
  <c r="G13" i="107" s="1"/>
  <c r="D15" i="43"/>
  <c r="D13" i="43"/>
  <c r="E11" i="43" l="1"/>
  <c r="D11" i="43"/>
  <c r="D9" i="43"/>
  <c r="H30" i="147" l="1"/>
  <c r="F26" i="147"/>
  <c r="E23" i="147"/>
  <c r="F22" i="147"/>
  <c r="F21" i="147"/>
  <c r="F20" i="147"/>
  <c r="F18" i="147"/>
  <c r="F16" i="147"/>
  <c r="F15" i="147"/>
  <c r="F14" i="147"/>
  <c r="F13" i="147"/>
  <c r="F12" i="147"/>
  <c r="F11" i="147"/>
  <c r="F10" i="147"/>
  <c r="F9" i="147"/>
  <c r="F8" i="147"/>
  <c r="F7" i="147"/>
  <c r="F6" i="147"/>
  <c r="F5" i="147"/>
  <c r="F4" i="147"/>
  <c r="G188" i="145"/>
  <c r="I186" i="145"/>
  <c r="H186" i="145"/>
  <c r="H183" i="145"/>
  <c r="G183" i="145"/>
  <c r="I181" i="145"/>
  <c r="H180" i="145"/>
  <c r="I180" i="145" s="1"/>
  <c r="I179" i="145"/>
  <c r="I178" i="145"/>
  <c r="I177" i="145"/>
  <c r="I176" i="145"/>
  <c r="I175" i="145"/>
  <c r="I174" i="145"/>
  <c r="I173" i="145"/>
  <c r="I172" i="145"/>
  <c r="I171" i="145"/>
  <c r="I170" i="145"/>
  <c r="I169" i="145"/>
  <c r="I168" i="145"/>
  <c r="I167" i="145"/>
  <c r="I166" i="145"/>
  <c r="I165" i="145"/>
  <c r="I164" i="145"/>
  <c r="I163" i="145"/>
  <c r="I162" i="145"/>
  <c r="I161" i="145"/>
  <c r="I160" i="145"/>
  <c r="I159" i="145"/>
  <c r="I158" i="145"/>
  <c r="I157" i="145"/>
  <c r="I156" i="145"/>
  <c r="I155" i="145"/>
  <c r="I154" i="145"/>
  <c r="I153" i="145"/>
  <c r="I152" i="145"/>
  <c r="I151" i="145"/>
  <c r="I150" i="145"/>
  <c r="I149" i="145"/>
  <c r="I148" i="145"/>
  <c r="I147" i="145"/>
  <c r="I146" i="145"/>
  <c r="I145" i="145"/>
  <c r="I144" i="145"/>
  <c r="I143" i="145"/>
  <c r="I142" i="145"/>
  <c r="I141" i="145"/>
  <c r="I140" i="145"/>
  <c r="I139" i="145"/>
  <c r="I138" i="145"/>
  <c r="I137" i="145"/>
  <c r="I136" i="145"/>
  <c r="I135" i="145"/>
  <c r="I134" i="145"/>
  <c r="I133" i="145"/>
  <c r="I132" i="145"/>
  <c r="I131" i="145"/>
  <c r="I130" i="145"/>
  <c r="I129" i="145"/>
  <c r="I128" i="145"/>
  <c r="I127" i="145"/>
  <c r="I126" i="145"/>
  <c r="I125" i="145"/>
  <c r="I124" i="145"/>
  <c r="I123" i="145"/>
  <c r="I122" i="145"/>
  <c r="I121" i="145"/>
  <c r="I120" i="145"/>
  <c r="I119" i="145"/>
  <c r="I118" i="145"/>
  <c r="I117" i="145"/>
  <c r="I116" i="145"/>
  <c r="I115" i="145"/>
  <c r="I114" i="145"/>
  <c r="I113" i="145"/>
  <c r="I112" i="145"/>
  <c r="I111" i="145"/>
  <c r="I110" i="145"/>
  <c r="I109" i="145"/>
  <c r="I108" i="145"/>
  <c r="I107" i="145"/>
  <c r="I106" i="145"/>
  <c r="I105" i="145"/>
  <c r="I104" i="145"/>
  <c r="I103" i="145"/>
  <c r="I102" i="145"/>
  <c r="I101" i="145"/>
  <c r="I100" i="145"/>
  <c r="I99" i="145"/>
  <c r="I98" i="145"/>
  <c r="I97" i="145"/>
  <c r="I96" i="145"/>
  <c r="I95" i="145"/>
  <c r="I94" i="145"/>
  <c r="I93" i="145"/>
  <c r="I92" i="145"/>
  <c r="I91" i="145"/>
  <c r="I90" i="145"/>
  <c r="I89" i="145"/>
  <c r="I88" i="145"/>
  <c r="I87" i="145"/>
  <c r="I86" i="145"/>
  <c r="I85" i="145"/>
  <c r="I84" i="145"/>
  <c r="I83" i="145"/>
  <c r="I82" i="145"/>
  <c r="I81" i="145"/>
  <c r="I80" i="145"/>
  <c r="I79" i="145"/>
  <c r="I78" i="145"/>
  <c r="I77" i="145"/>
  <c r="I76" i="145"/>
  <c r="I75" i="145"/>
  <c r="I74" i="145"/>
  <c r="I73" i="145"/>
  <c r="I72" i="145"/>
  <c r="I71" i="145"/>
  <c r="I70" i="145"/>
  <c r="I69" i="145"/>
  <c r="I68" i="145"/>
  <c r="I67" i="145"/>
  <c r="I66" i="145"/>
  <c r="I65" i="145"/>
  <c r="I64" i="145"/>
  <c r="I63" i="145"/>
  <c r="I62" i="145"/>
  <c r="I61" i="145"/>
  <c r="I60" i="145"/>
  <c r="I59" i="145"/>
  <c r="I58" i="145"/>
  <c r="I57" i="145"/>
  <c r="I56" i="145"/>
  <c r="I55" i="145"/>
  <c r="I54" i="145"/>
  <c r="I53" i="145"/>
  <c r="I52" i="145"/>
  <c r="I51" i="145"/>
  <c r="I50" i="145"/>
  <c r="I49" i="145"/>
  <c r="I48" i="145"/>
  <c r="I47" i="145"/>
  <c r="I46" i="145"/>
  <c r="I45" i="145"/>
  <c r="I44" i="145"/>
  <c r="I43" i="145"/>
  <c r="I42" i="145"/>
  <c r="I41" i="145"/>
  <c r="I40" i="145"/>
  <c r="I39" i="145"/>
  <c r="I38" i="145"/>
  <c r="I37" i="145"/>
  <c r="I36" i="145"/>
  <c r="I35" i="145"/>
  <c r="I34" i="145"/>
  <c r="I33" i="145"/>
  <c r="I32" i="145"/>
  <c r="I31" i="145"/>
  <c r="I30" i="145"/>
  <c r="I29" i="145"/>
  <c r="I28" i="145"/>
  <c r="I27" i="145"/>
  <c r="I26" i="145"/>
  <c r="I25" i="145"/>
  <c r="I24" i="145"/>
  <c r="I23" i="145"/>
  <c r="I22" i="145"/>
  <c r="I21" i="145"/>
  <c r="I20" i="145"/>
  <c r="I19" i="145"/>
  <c r="I18" i="145"/>
  <c r="I17" i="145"/>
  <c r="I16" i="145"/>
  <c r="I15" i="145"/>
  <c r="I14" i="145"/>
  <c r="A14" i="145"/>
  <c r="I13" i="145"/>
  <c r="I12" i="145"/>
  <c r="I11" i="145"/>
  <c r="I10" i="145"/>
  <c r="I9" i="145"/>
  <c r="I8" i="145"/>
  <c r="I7" i="145"/>
  <c r="I6" i="145"/>
  <c r="I5" i="145"/>
  <c r="P4" i="145"/>
  <c r="I4" i="145"/>
  <c r="P3" i="145"/>
  <c r="H1" i="145"/>
  <c r="F1" i="145" s="1"/>
  <c r="G1" i="145"/>
  <c r="C415" i="137"/>
  <c r="C417" i="137"/>
  <c r="D54" i="144"/>
  <c r="C54" i="144"/>
  <c r="E46" i="144"/>
  <c r="C46" i="144"/>
  <c r="D43" i="144"/>
  <c r="I38" i="144"/>
  <c r="F36" i="144"/>
  <c r="C36" i="144"/>
  <c r="G33" i="144"/>
  <c r="H34" i="144" s="1"/>
  <c r="E33" i="144"/>
  <c r="F38" i="144" s="1"/>
  <c r="D46" i="144" s="1"/>
  <c r="E31" i="144"/>
  <c r="C31" i="144"/>
  <c r="B43" i="144" s="1"/>
  <c r="F22" i="144"/>
  <c r="D20" i="144" s="1"/>
  <c r="D22" i="144" s="1"/>
  <c r="G21" i="144"/>
  <c r="E21" i="144"/>
  <c r="D21" i="144"/>
  <c r="C21" i="144"/>
  <c r="G20" i="144"/>
  <c r="G22" i="144" s="1"/>
  <c r="E20" i="144" s="1"/>
  <c r="F20" i="144"/>
  <c r="E17" i="144"/>
  <c r="C17" i="144"/>
  <c r="H13" i="144"/>
  <c r="F13" i="144"/>
  <c r="E11" i="144"/>
  <c r="C11" i="144"/>
  <c r="U7" i="144"/>
  <c r="G5" i="144"/>
  <c r="G11" i="144" s="1"/>
  <c r="E5" i="144"/>
  <c r="C5" i="144"/>
  <c r="B113" i="143"/>
  <c r="D108" i="143"/>
  <c r="D110" i="143" s="1"/>
  <c r="B121" i="143" s="1"/>
  <c r="F107" i="143"/>
  <c r="F108" i="143" s="1"/>
  <c r="F110" i="143" s="1"/>
  <c r="E107" i="143"/>
  <c r="E108" i="143" s="1"/>
  <c r="E110" i="143" s="1"/>
  <c r="E106" i="143"/>
  <c r="E51" i="143" s="1"/>
  <c r="D106" i="143"/>
  <c r="E104" i="143"/>
  <c r="E98" i="143"/>
  <c r="E97" i="143"/>
  <c r="D97" i="143"/>
  <c r="D99" i="143" s="1"/>
  <c r="A93" i="143"/>
  <c r="E92" i="143"/>
  <c r="A92" i="143"/>
  <c r="E91" i="143"/>
  <c r="C91" i="143"/>
  <c r="A91" i="143"/>
  <c r="E90" i="143"/>
  <c r="C90" i="143"/>
  <c r="A89" i="143"/>
  <c r="A88" i="143"/>
  <c r="A87" i="143"/>
  <c r="E86" i="143"/>
  <c r="C86" i="143"/>
  <c r="E85" i="143"/>
  <c r="C85" i="143"/>
  <c r="E84" i="143"/>
  <c r="C84" i="143"/>
  <c r="A84" i="143"/>
  <c r="A83" i="143"/>
  <c r="A81" i="143"/>
  <c r="A80" i="143"/>
  <c r="A79" i="143"/>
  <c r="E74" i="143"/>
  <c r="E64" i="110" s="1"/>
  <c r="D74" i="143"/>
  <c r="C64" i="110" s="1"/>
  <c r="D73" i="143"/>
  <c r="E72" i="143"/>
  <c r="D72" i="143"/>
  <c r="E71" i="143"/>
  <c r="E61" i="110" s="1"/>
  <c r="D71" i="143"/>
  <c r="C61" i="110" s="1"/>
  <c r="E66" i="143"/>
  <c r="D66" i="143"/>
  <c r="A64" i="143"/>
  <c r="P62" i="143"/>
  <c r="P57" i="143"/>
  <c r="N57" i="143"/>
  <c r="D57" i="143"/>
  <c r="C51" i="110" s="1"/>
  <c r="P56" i="143"/>
  <c r="O56" i="143"/>
  <c r="N56" i="143"/>
  <c r="E55" i="143"/>
  <c r="E50" i="110" s="1"/>
  <c r="D55" i="143"/>
  <c r="C50" i="110" s="1"/>
  <c r="P54" i="143"/>
  <c r="O54" i="143"/>
  <c r="N54" i="143"/>
  <c r="E48" i="110"/>
  <c r="D54" i="143"/>
  <c r="C48" i="110" s="1"/>
  <c r="P53" i="143"/>
  <c r="O53" i="143"/>
  <c r="N53" i="143"/>
  <c r="E53" i="143"/>
  <c r="E45" i="110" s="1"/>
  <c r="D53" i="143"/>
  <c r="C45" i="110" s="1"/>
  <c r="P52" i="143"/>
  <c r="O52" i="143"/>
  <c r="N52" i="143"/>
  <c r="E52" i="143"/>
  <c r="D52" i="143"/>
  <c r="P51" i="143"/>
  <c r="O51" i="143"/>
  <c r="N51" i="143"/>
  <c r="P50" i="143"/>
  <c r="O50" i="143"/>
  <c r="N50" i="143"/>
  <c r="P49" i="143"/>
  <c r="O49" i="143"/>
  <c r="N49" i="143"/>
  <c r="P48" i="143"/>
  <c r="O48" i="143"/>
  <c r="N48" i="143"/>
  <c r="P47" i="143"/>
  <c r="N47" i="143"/>
  <c r="P45" i="143"/>
  <c r="O45" i="143"/>
  <c r="N45" i="143"/>
  <c r="P44" i="143"/>
  <c r="O44" i="143"/>
  <c r="N44" i="143"/>
  <c r="P43" i="143"/>
  <c r="O43" i="143"/>
  <c r="N43" i="143"/>
  <c r="E43" i="143"/>
  <c r="D43" i="143"/>
  <c r="P42" i="143"/>
  <c r="N42" i="143"/>
  <c r="P41" i="143"/>
  <c r="O41" i="143"/>
  <c r="N41" i="143"/>
  <c r="E41" i="143"/>
  <c r="D41" i="143"/>
  <c r="P40" i="143"/>
  <c r="O40" i="143"/>
  <c r="N40" i="143"/>
  <c r="P39" i="143"/>
  <c r="O39" i="143"/>
  <c r="R39" i="143" s="1"/>
  <c r="N39" i="143"/>
  <c r="P38" i="143"/>
  <c r="O38" i="143"/>
  <c r="N38" i="143"/>
  <c r="P35" i="143"/>
  <c r="O35" i="143"/>
  <c r="N35" i="143"/>
  <c r="P34" i="143"/>
  <c r="O34" i="143"/>
  <c r="N34" i="143"/>
  <c r="P33" i="143"/>
  <c r="O33" i="143"/>
  <c r="R33" i="143" s="1"/>
  <c r="N33" i="143"/>
  <c r="P32" i="143"/>
  <c r="O32" i="143"/>
  <c r="N32" i="143"/>
  <c r="P30" i="143"/>
  <c r="O30" i="143"/>
  <c r="N30" i="143"/>
  <c r="P29" i="143"/>
  <c r="O29" i="143"/>
  <c r="N29" i="143"/>
  <c r="E29" i="143"/>
  <c r="E23" i="110" s="1"/>
  <c r="D29" i="143"/>
  <c r="C23" i="110" s="1"/>
  <c r="P28" i="143"/>
  <c r="O28" i="143"/>
  <c r="R28" i="143" s="1"/>
  <c r="N28" i="143"/>
  <c r="P27" i="143"/>
  <c r="O27" i="143"/>
  <c r="N27" i="143"/>
  <c r="P26" i="143"/>
  <c r="O26" i="143"/>
  <c r="R26" i="143" s="1"/>
  <c r="N26" i="143"/>
  <c r="P25" i="143"/>
  <c r="O25" i="143"/>
  <c r="N25" i="143"/>
  <c r="P24" i="143"/>
  <c r="O24" i="143"/>
  <c r="R24" i="143" s="1"/>
  <c r="N24" i="143"/>
  <c r="E24" i="143"/>
  <c r="E30" i="143" s="1"/>
  <c r="E21" i="110" s="1"/>
  <c r="D24" i="143"/>
  <c r="D30" i="143" s="1"/>
  <c r="C21" i="110" s="1"/>
  <c r="P23" i="143"/>
  <c r="O23" i="143"/>
  <c r="N23" i="143"/>
  <c r="E23" i="143"/>
  <c r="E46" i="143" s="1"/>
  <c r="D23" i="143"/>
  <c r="D46" i="143" s="1"/>
  <c r="P21" i="143"/>
  <c r="O21" i="143"/>
  <c r="R21" i="143" s="1"/>
  <c r="N21" i="143"/>
  <c r="E22" i="110"/>
  <c r="D21" i="143"/>
  <c r="D28" i="143" s="1"/>
  <c r="C22" i="110" s="1"/>
  <c r="P20" i="143"/>
  <c r="O20" i="143"/>
  <c r="N20" i="143"/>
  <c r="D20" i="143"/>
  <c r="P19" i="143"/>
  <c r="O19" i="143"/>
  <c r="N19" i="143"/>
  <c r="E12" i="110"/>
  <c r="D19" i="143"/>
  <c r="C12" i="110" s="1"/>
  <c r="P18" i="143"/>
  <c r="O18" i="143"/>
  <c r="N18" i="143"/>
  <c r="P17" i="143"/>
  <c r="O17" i="143"/>
  <c r="N17" i="143"/>
  <c r="P15" i="143"/>
  <c r="O15" i="143"/>
  <c r="N15" i="143"/>
  <c r="P14" i="143"/>
  <c r="O14" i="143"/>
  <c r="R14" i="143" s="1"/>
  <c r="N14" i="143"/>
  <c r="P13" i="143"/>
  <c r="O13" i="143"/>
  <c r="N13" i="143"/>
  <c r="P12" i="143"/>
  <c r="O12" i="143"/>
  <c r="N12" i="143"/>
  <c r="P11" i="143"/>
  <c r="O11" i="143"/>
  <c r="N11" i="143"/>
  <c r="P10" i="143"/>
  <c r="O10" i="143"/>
  <c r="R10" i="143" s="1"/>
  <c r="N10" i="143"/>
  <c r="E11" i="110"/>
  <c r="D10" i="143"/>
  <c r="C11" i="110" s="1"/>
  <c r="P7" i="143"/>
  <c r="O7" i="143"/>
  <c r="N7" i="143"/>
  <c r="E9" i="110"/>
  <c r="D7" i="143"/>
  <c r="P6" i="143"/>
  <c r="O6" i="143"/>
  <c r="N6" i="143"/>
  <c r="P5" i="143"/>
  <c r="O5" i="143"/>
  <c r="N5" i="143"/>
  <c r="E4" i="143"/>
  <c r="D4" i="143"/>
  <c r="A1" i="143"/>
  <c r="A63" i="143" s="1"/>
  <c r="D50" i="142"/>
  <c r="C50" i="142"/>
  <c r="D53" i="142" s="1"/>
  <c r="B27" i="142"/>
  <c r="I25" i="142"/>
  <c r="A25" i="142"/>
  <c r="J24" i="142"/>
  <c r="B24" i="142"/>
  <c r="P23" i="142"/>
  <c r="N23" i="142"/>
  <c r="I23" i="142"/>
  <c r="H23" i="142"/>
  <c r="G23" i="142"/>
  <c r="D23" i="142"/>
  <c r="C23" i="142"/>
  <c r="A23" i="142"/>
  <c r="B22" i="142"/>
  <c r="P21" i="142"/>
  <c r="N21" i="142"/>
  <c r="M21" i="142"/>
  <c r="L21" i="142"/>
  <c r="K21" i="142"/>
  <c r="J21" i="142"/>
  <c r="I21" i="142"/>
  <c r="H21" i="142"/>
  <c r="G21" i="142"/>
  <c r="F21" i="142"/>
  <c r="E21" i="142"/>
  <c r="D21" i="142"/>
  <c r="C21" i="142"/>
  <c r="A21" i="142"/>
  <c r="B20" i="142"/>
  <c r="B21" i="142" s="1"/>
  <c r="K18" i="142"/>
  <c r="K25" i="142" s="1"/>
  <c r="I18" i="142"/>
  <c r="D18" i="142"/>
  <c r="D25" i="142" s="1"/>
  <c r="A18" i="142"/>
  <c r="P17" i="142"/>
  <c r="N17" i="142"/>
  <c r="M17" i="142"/>
  <c r="L17" i="142"/>
  <c r="J17" i="142"/>
  <c r="I17" i="142"/>
  <c r="G17" i="142"/>
  <c r="F17" i="142"/>
  <c r="E17" i="142"/>
  <c r="C17" i="142"/>
  <c r="B17" i="142" s="1"/>
  <c r="P16" i="142"/>
  <c r="N16" i="142"/>
  <c r="M16" i="142"/>
  <c r="L16" i="142"/>
  <c r="J16" i="142"/>
  <c r="B16" i="142" s="1"/>
  <c r="I16" i="142"/>
  <c r="G16" i="142"/>
  <c r="F16" i="142"/>
  <c r="E16" i="142"/>
  <c r="P15" i="142"/>
  <c r="P18" i="142" s="1"/>
  <c r="P25" i="142" s="1"/>
  <c r="P30" i="142" s="1"/>
  <c r="N15" i="142"/>
  <c r="N18" i="142" s="1"/>
  <c r="N25" i="142" s="1"/>
  <c r="M15" i="142"/>
  <c r="M18" i="142" s="1"/>
  <c r="M25" i="142" s="1"/>
  <c r="L15" i="142"/>
  <c r="L18" i="142" s="1"/>
  <c r="L25" i="142" s="1"/>
  <c r="K15" i="142"/>
  <c r="K23" i="142" s="1"/>
  <c r="I15" i="142"/>
  <c r="H15" i="142"/>
  <c r="H18" i="142" s="1"/>
  <c r="H25" i="142" s="1"/>
  <c r="G15" i="142"/>
  <c r="G18" i="142" s="1"/>
  <c r="G25" i="142" s="1"/>
  <c r="F15" i="142"/>
  <c r="F23" i="142" s="1"/>
  <c r="E15" i="142"/>
  <c r="E23" i="142" s="1"/>
  <c r="D15" i="142"/>
  <c r="C15" i="142"/>
  <c r="C18" i="142" s="1"/>
  <c r="A15" i="142"/>
  <c r="B14" i="142"/>
  <c r="J13" i="142"/>
  <c r="B13" i="142" s="1"/>
  <c r="B12" i="142"/>
  <c r="A12" i="142"/>
  <c r="P10" i="142"/>
  <c r="N10" i="142"/>
  <c r="M10" i="142"/>
  <c r="L10" i="142"/>
  <c r="J10" i="142"/>
  <c r="I10" i="142"/>
  <c r="F10" i="142"/>
  <c r="E10" i="142"/>
  <c r="B10" i="142" s="1"/>
  <c r="C10" i="142"/>
  <c r="B9" i="142"/>
  <c r="B8" i="142"/>
  <c r="B7" i="142"/>
  <c r="N63" i="141"/>
  <c r="N62" i="141"/>
  <c r="N61" i="141"/>
  <c r="N60" i="141"/>
  <c r="E60" i="141"/>
  <c r="N59" i="141"/>
  <c r="D59" i="141"/>
  <c r="C59" i="141"/>
  <c r="N58" i="141"/>
  <c r="D58" i="141"/>
  <c r="C58" i="141"/>
  <c r="N57" i="141"/>
  <c r="D57" i="141"/>
  <c r="C57" i="141"/>
  <c r="N56" i="141"/>
  <c r="D56" i="141"/>
  <c r="C56" i="141"/>
  <c r="N55" i="141"/>
  <c r="D55" i="141"/>
  <c r="C55" i="141"/>
  <c r="N54" i="141"/>
  <c r="D54" i="141"/>
  <c r="C54" i="141"/>
  <c r="N53" i="141"/>
  <c r="D53" i="141"/>
  <c r="C53" i="141"/>
  <c r="N52" i="141"/>
  <c r="D52" i="141"/>
  <c r="C52" i="141"/>
  <c r="N51" i="141"/>
  <c r="D51" i="141"/>
  <c r="C51" i="141"/>
  <c r="N50" i="141"/>
  <c r="D50" i="141"/>
  <c r="C50" i="141"/>
  <c r="N49" i="141"/>
  <c r="E49" i="141"/>
  <c r="D49" i="141"/>
  <c r="C49" i="141"/>
  <c r="N48" i="141"/>
  <c r="N47" i="141"/>
  <c r="N46" i="141"/>
  <c r="B46" i="141"/>
  <c r="N45" i="141"/>
  <c r="B45" i="141"/>
  <c r="N44" i="141"/>
  <c r="B44" i="141"/>
  <c r="N43" i="141"/>
  <c r="N42" i="141"/>
  <c r="B42" i="141"/>
  <c r="N41" i="141"/>
  <c r="C41" i="141"/>
  <c r="N40" i="141"/>
  <c r="C40" i="141"/>
  <c r="B39" i="141"/>
  <c r="C38" i="141"/>
  <c r="C37" i="141"/>
  <c r="C36" i="141"/>
  <c r="B36" i="141"/>
  <c r="O35" i="141"/>
  <c r="B34" i="141"/>
  <c r="C33" i="141"/>
  <c r="C32" i="141"/>
  <c r="B31" i="141"/>
  <c r="C30" i="141"/>
  <c r="C29" i="141"/>
  <c r="C28" i="141"/>
  <c r="B28" i="141"/>
  <c r="CD25" i="141"/>
  <c r="CC25" i="141"/>
  <c r="CB25" i="141"/>
  <c r="CA25" i="141"/>
  <c r="B23" i="141"/>
  <c r="C22" i="141"/>
  <c r="B22" i="141"/>
  <c r="C21" i="141"/>
  <c r="B21" i="141"/>
  <c r="B19" i="141"/>
  <c r="E18" i="141"/>
  <c r="D18" i="141" s="1"/>
  <c r="E17" i="141"/>
  <c r="D17" i="141" s="1"/>
  <c r="D42" i="11" s="1"/>
  <c r="C17" i="141"/>
  <c r="C16" i="141"/>
  <c r="C19" i="141" s="1"/>
  <c r="B16" i="141"/>
  <c r="E15" i="141"/>
  <c r="D15" i="141" s="1"/>
  <c r="E14" i="141"/>
  <c r="D14" i="141" s="1"/>
  <c r="E13" i="141"/>
  <c r="E21" i="141" s="1"/>
  <c r="B13" i="141"/>
  <c r="B11" i="141"/>
  <c r="E10" i="141"/>
  <c r="E9" i="141"/>
  <c r="D9" i="141" s="1"/>
  <c r="C9" i="141"/>
  <c r="D8" i="141"/>
  <c r="C8" i="141"/>
  <c r="C11" i="141" s="1"/>
  <c r="C23" i="141" s="1"/>
  <c r="B8" i="141"/>
  <c r="E7" i="141"/>
  <c r="E6" i="141"/>
  <c r="B5" i="141"/>
  <c r="CD2" i="141"/>
  <c r="CC2" i="141"/>
  <c r="CB2" i="141"/>
  <c r="CA2" i="141"/>
  <c r="P29" i="140"/>
  <c r="O29" i="140"/>
  <c r="N29" i="140"/>
  <c r="M29" i="140"/>
  <c r="L29" i="140"/>
  <c r="K29" i="140"/>
  <c r="J29" i="140"/>
  <c r="I29" i="140"/>
  <c r="H29" i="140"/>
  <c r="G29" i="140"/>
  <c r="F29" i="140"/>
  <c r="E29" i="140"/>
  <c r="D29" i="140"/>
  <c r="C29" i="140"/>
  <c r="B28" i="140"/>
  <c r="B27" i="140"/>
  <c r="B26" i="140"/>
  <c r="B22" i="140"/>
  <c r="O21" i="140"/>
  <c r="N21" i="140"/>
  <c r="M21" i="140"/>
  <c r="L21" i="140"/>
  <c r="K21" i="140"/>
  <c r="J21" i="140"/>
  <c r="I21" i="140"/>
  <c r="H21" i="140"/>
  <c r="G21" i="140"/>
  <c r="F21" i="140"/>
  <c r="E21" i="140"/>
  <c r="D21" i="140"/>
  <c r="C21" i="140"/>
  <c r="W20" i="140"/>
  <c r="U20" i="140"/>
  <c r="S20" i="140"/>
  <c r="Q20" i="140"/>
  <c r="D39" i="11" s="1"/>
  <c r="O20" i="140"/>
  <c r="D37" i="11" s="1"/>
  <c r="N20" i="140"/>
  <c r="D35" i="11" s="1"/>
  <c r="M20" i="140"/>
  <c r="D34" i="11" s="1"/>
  <c r="L20" i="140"/>
  <c r="D33" i="11" s="1"/>
  <c r="K20" i="140"/>
  <c r="D32" i="11" s="1"/>
  <c r="J20" i="140"/>
  <c r="D30" i="11" s="1"/>
  <c r="I20" i="140"/>
  <c r="H20" i="140"/>
  <c r="G20" i="140"/>
  <c r="D31" i="11" s="1"/>
  <c r="F20" i="140"/>
  <c r="E20" i="140"/>
  <c r="D20" i="140"/>
  <c r="D36" i="11" s="1"/>
  <c r="C20" i="140"/>
  <c r="B19" i="140"/>
  <c r="O18" i="140"/>
  <c r="N18" i="140"/>
  <c r="M18" i="140"/>
  <c r="L18" i="140"/>
  <c r="K18" i="140"/>
  <c r="J18" i="140"/>
  <c r="I18" i="140"/>
  <c r="H18" i="140"/>
  <c r="G18" i="140"/>
  <c r="F18" i="140"/>
  <c r="E18" i="140"/>
  <c r="D18" i="140"/>
  <c r="C18" i="140"/>
  <c r="S17" i="140"/>
  <c r="Q17" i="140"/>
  <c r="O17" i="140"/>
  <c r="N17" i="140"/>
  <c r="M17" i="140"/>
  <c r="L17" i="140"/>
  <c r="K17" i="140"/>
  <c r="J17" i="140"/>
  <c r="I17" i="140"/>
  <c r="H17" i="140"/>
  <c r="G17" i="140"/>
  <c r="F17" i="140"/>
  <c r="E17" i="140"/>
  <c r="D17" i="140"/>
  <c r="C17" i="140"/>
  <c r="O16" i="140"/>
  <c r="N16" i="140"/>
  <c r="M16" i="140"/>
  <c r="L16" i="140"/>
  <c r="K16" i="140"/>
  <c r="J16" i="140"/>
  <c r="I16" i="140"/>
  <c r="H16" i="140"/>
  <c r="G16" i="140"/>
  <c r="F16" i="140"/>
  <c r="E16" i="140"/>
  <c r="D16" i="140"/>
  <c r="C16" i="140"/>
  <c r="B16" i="140"/>
  <c r="B13" i="140"/>
  <c r="O12" i="140"/>
  <c r="N12" i="140"/>
  <c r="M12" i="140"/>
  <c r="L12" i="140"/>
  <c r="K12" i="140"/>
  <c r="J12" i="140"/>
  <c r="I12" i="140"/>
  <c r="H12" i="140"/>
  <c r="G12" i="140"/>
  <c r="F12" i="140"/>
  <c r="E12" i="140"/>
  <c r="D12" i="140"/>
  <c r="C12" i="140"/>
  <c r="O11" i="140"/>
  <c r="N11" i="140"/>
  <c r="M11" i="140"/>
  <c r="L11" i="140"/>
  <c r="K11" i="140"/>
  <c r="J11" i="140"/>
  <c r="I11" i="140"/>
  <c r="H11" i="140"/>
  <c r="G11" i="140"/>
  <c r="F11" i="140"/>
  <c r="E11" i="140"/>
  <c r="D11" i="140"/>
  <c r="C11" i="140"/>
  <c r="B10" i="140"/>
  <c r="O9" i="140"/>
  <c r="N9" i="140"/>
  <c r="M9" i="140"/>
  <c r="L9" i="140"/>
  <c r="K9" i="140"/>
  <c r="J9" i="140"/>
  <c r="I9" i="140"/>
  <c r="H9" i="140"/>
  <c r="G9" i="140"/>
  <c r="F9" i="140"/>
  <c r="E9" i="140"/>
  <c r="D9" i="140"/>
  <c r="C9" i="140"/>
  <c r="O8" i="140"/>
  <c r="N8" i="140"/>
  <c r="M8" i="140"/>
  <c r="L8" i="140"/>
  <c r="K8" i="140"/>
  <c r="J8" i="140"/>
  <c r="I8" i="140"/>
  <c r="H8" i="140"/>
  <c r="G8" i="140"/>
  <c r="F8" i="140"/>
  <c r="E8" i="140"/>
  <c r="D8" i="140"/>
  <c r="C8" i="140"/>
  <c r="O7" i="140"/>
  <c r="N7" i="140"/>
  <c r="M7" i="140"/>
  <c r="L7" i="140"/>
  <c r="K7" i="140"/>
  <c r="J7" i="140"/>
  <c r="I7" i="140"/>
  <c r="H7" i="140"/>
  <c r="G7" i="140"/>
  <c r="F7" i="140"/>
  <c r="E7" i="140"/>
  <c r="D7" i="140"/>
  <c r="C7" i="140"/>
  <c r="B7" i="140"/>
  <c r="G1" i="140"/>
  <c r="A52" i="139"/>
  <c r="D51" i="139"/>
  <c r="A51" i="139"/>
  <c r="D50" i="139"/>
  <c r="B50" i="139"/>
  <c r="A50" i="139"/>
  <c r="D49" i="139"/>
  <c r="B49" i="139"/>
  <c r="A48" i="139"/>
  <c r="A47" i="139"/>
  <c r="A46" i="139"/>
  <c r="D45" i="139"/>
  <c r="B45" i="139"/>
  <c r="D44" i="139"/>
  <c r="B44" i="139"/>
  <c r="A44" i="139"/>
  <c r="D43" i="139"/>
  <c r="B43" i="139"/>
  <c r="A43" i="139"/>
  <c r="A41" i="139"/>
  <c r="A39" i="139"/>
  <c r="K37" i="139"/>
  <c r="A33" i="139"/>
  <c r="B32" i="139"/>
  <c r="F32" i="139" s="1"/>
  <c r="B31" i="139"/>
  <c r="F31" i="139" s="1"/>
  <c r="F30" i="139"/>
  <c r="D29" i="139"/>
  <c r="F29" i="139" s="1"/>
  <c r="C28" i="139"/>
  <c r="I28" i="139" s="1"/>
  <c r="D27" i="139"/>
  <c r="D25" i="139"/>
  <c r="A25" i="139"/>
  <c r="F24" i="139"/>
  <c r="F23" i="139"/>
  <c r="F22" i="139"/>
  <c r="J21" i="139"/>
  <c r="F21" i="139"/>
  <c r="J20" i="139"/>
  <c r="C26" i="139" s="1"/>
  <c r="F26" i="139" s="1"/>
  <c r="F20" i="139"/>
  <c r="D19" i="139"/>
  <c r="C19" i="139"/>
  <c r="C25" i="139" s="1"/>
  <c r="C27" i="139" s="1"/>
  <c r="B19" i="139"/>
  <c r="F19" i="139" s="1"/>
  <c r="G19" i="139" s="1"/>
  <c r="I17" i="139"/>
  <c r="A17" i="139"/>
  <c r="C11" i="139"/>
  <c r="C71" i="139" s="1"/>
  <c r="C72" i="139" s="1"/>
  <c r="C9" i="139"/>
  <c r="B71" i="139" s="1"/>
  <c r="B72" i="139" s="1"/>
  <c r="C5" i="139"/>
  <c r="C7" i="139" s="1"/>
  <c r="A1" i="139"/>
  <c r="J398" i="138"/>
  <c r="D385" i="138"/>
  <c r="G382" i="138"/>
  <c r="D382" i="138"/>
  <c r="E382" i="138" s="1"/>
  <c r="G381" i="138"/>
  <c r="D381" i="138"/>
  <c r="E381" i="138" s="1"/>
  <c r="D378" i="138"/>
  <c r="D377" i="138"/>
  <c r="D376" i="138"/>
  <c r="D375" i="138"/>
  <c r="D374" i="138"/>
  <c r="D373" i="138"/>
  <c r="D372" i="138"/>
  <c r="D371" i="138"/>
  <c r="D370" i="138"/>
  <c r="D369" i="138"/>
  <c r="D368" i="138"/>
  <c r="D367" i="138"/>
  <c r="D366" i="138"/>
  <c r="D365" i="138"/>
  <c r="D364" i="138"/>
  <c r="D363" i="138"/>
  <c r="D362" i="138"/>
  <c r="D361" i="138"/>
  <c r="D360" i="138"/>
  <c r="D359" i="138"/>
  <c r="D358" i="138"/>
  <c r="G357" i="138"/>
  <c r="D355" i="138"/>
  <c r="D354" i="138"/>
  <c r="D353" i="138"/>
  <c r="D352" i="138"/>
  <c r="D351" i="138"/>
  <c r="D350" i="138"/>
  <c r="D349" i="138"/>
  <c r="D348" i="138"/>
  <c r="G347" i="138"/>
  <c r="D345" i="138"/>
  <c r="C345" i="138"/>
  <c r="A345" i="138"/>
  <c r="D344" i="138"/>
  <c r="D343" i="138"/>
  <c r="H342" i="138"/>
  <c r="F342" i="138" s="1"/>
  <c r="D342" i="138"/>
  <c r="D341" i="138"/>
  <c r="D340" i="138"/>
  <c r="D339" i="138"/>
  <c r="D338" i="138"/>
  <c r="D337" i="138"/>
  <c r="H336" i="138"/>
  <c r="F336" i="138" s="1"/>
  <c r="D336" i="138"/>
  <c r="H335" i="138"/>
  <c r="F335" i="138" s="1"/>
  <c r="D335" i="138"/>
  <c r="D334" i="138"/>
  <c r="H333" i="138"/>
  <c r="F333" i="138" s="1"/>
  <c r="D333" i="138"/>
  <c r="H332" i="138"/>
  <c r="F332" i="138" s="1"/>
  <c r="D332" i="138"/>
  <c r="D331" i="138"/>
  <c r="H330" i="138"/>
  <c r="F330" i="138" s="1"/>
  <c r="D330" i="138"/>
  <c r="D329" i="138"/>
  <c r="E325" i="138"/>
  <c r="E322" i="138" s="1"/>
  <c r="E324" i="138"/>
  <c r="E319" i="138"/>
  <c r="C319" i="138"/>
  <c r="A319" i="138"/>
  <c r="E318" i="138"/>
  <c r="E317" i="138"/>
  <c r="E316" i="138"/>
  <c r="D315" i="138"/>
  <c r="D314" i="138"/>
  <c r="D313" i="138"/>
  <c r="D312" i="138"/>
  <c r="D311" i="138"/>
  <c r="D310" i="138"/>
  <c r="D309" i="138"/>
  <c r="D308" i="138"/>
  <c r="H307" i="138"/>
  <c r="F307" i="138" s="1"/>
  <c r="D307" i="138"/>
  <c r="D306" i="138"/>
  <c r="D305" i="138"/>
  <c r="D304" i="138"/>
  <c r="D303" i="138"/>
  <c r="D302" i="138"/>
  <c r="D301" i="138"/>
  <c r="D300" i="138"/>
  <c r="D299" i="138"/>
  <c r="D298" i="138"/>
  <c r="D297" i="138"/>
  <c r="D296" i="138"/>
  <c r="D295" i="138"/>
  <c r="D294" i="138"/>
  <c r="D293" i="138"/>
  <c r="D292" i="138"/>
  <c r="D291" i="138"/>
  <c r="D290" i="138"/>
  <c r="D289" i="138"/>
  <c r="D288" i="138"/>
  <c r="D287" i="138"/>
  <c r="D286" i="138"/>
  <c r="D285" i="138"/>
  <c r="D284" i="138"/>
  <c r="D283" i="138"/>
  <c r="D282" i="138"/>
  <c r="H281" i="138"/>
  <c r="F281" i="138" s="1"/>
  <c r="D281" i="138"/>
  <c r="D280" i="138"/>
  <c r="D279" i="138"/>
  <c r="D278" i="138"/>
  <c r="D277" i="138"/>
  <c r="D276" i="138"/>
  <c r="D275" i="138"/>
  <c r="H272" i="138"/>
  <c r="G272" i="138" s="1"/>
  <c r="E272" i="138"/>
  <c r="H271" i="138"/>
  <c r="G271" i="138" s="1"/>
  <c r="E271" i="138"/>
  <c r="E270" i="138"/>
  <c r="H269" i="138"/>
  <c r="G269" i="138" s="1"/>
  <c r="E269" i="138"/>
  <c r="E268" i="138"/>
  <c r="H267" i="138"/>
  <c r="G267" i="138" s="1"/>
  <c r="E267" i="138"/>
  <c r="D265" i="138"/>
  <c r="D264" i="138"/>
  <c r="G263" i="138"/>
  <c r="E262" i="138"/>
  <c r="H260" i="138"/>
  <c r="F260" i="138" s="1"/>
  <c r="G257" i="138" s="1"/>
  <c r="D260" i="138"/>
  <c r="D259" i="138"/>
  <c r="D258" i="138"/>
  <c r="E255" i="138"/>
  <c r="G253" i="138"/>
  <c r="D253" i="138"/>
  <c r="E253" i="138" s="1"/>
  <c r="D252" i="138"/>
  <c r="D251" i="138"/>
  <c r="C251" i="138"/>
  <c r="A251" i="138"/>
  <c r="D250" i="138"/>
  <c r="G249" i="138"/>
  <c r="H247" i="138"/>
  <c r="G247" i="138" s="1"/>
  <c r="E247" i="138"/>
  <c r="D245" i="138"/>
  <c r="H244" i="138"/>
  <c r="F244" i="138" s="1"/>
  <c r="G243" i="138" s="1"/>
  <c r="D244" i="138"/>
  <c r="D241" i="138"/>
  <c r="C241" i="138"/>
  <c r="A241" i="138"/>
  <c r="D240" i="138"/>
  <c r="D239" i="138"/>
  <c r="D238" i="138"/>
  <c r="D237" i="138"/>
  <c r="G236" i="138"/>
  <c r="D234" i="138"/>
  <c r="D233" i="138"/>
  <c r="D232" i="138"/>
  <c r="D231" i="138"/>
  <c r="H230" i="138"/>
  <c r="F230" i="138" s="1"/>
  <c r="G227" i="138" s="1"/>
  <c r="D230" i="138"/>
  <c r="D229" i="138"/>
  <c r="D228" i="138"/>
  <c r="E225" i="138"/>
  <c r="H224" i="138"/>
  <c r="G224" i="138" s="1"/>
  <c r="E224" i="138"/>
  <c r="D218" i="138"/>
  <c r="D217" i="138"/>
  <c r="D216" i="138"/>
  <c r="D215" i="138"/>
  <c r="E212" i="138"/>
  <c r="A212" i="138"/>
  <c r="D211" i="138"/>
  <c r="J211" i="138" s="1"/>
  <c r="D210" i="138"/>
  <c r="J210" i="138" s="1"/>
  <c r="D209" i="138"/>
  <c r="J209" i="138" s="1"/>
  <c r="D208" i="138"/>
  <c r="J208" i="138" s="1"/>
  <c r="D207" i="138"/>
  <c r="J207" i="138" s="1"/>
  <c r="D206" i="138"/>
  <c r="J206" i="138" s="1"/>
  <c r="D205" i="138"/>
  <c r="J205" i="138" s="1"/>
  <c r="D204" i="138"/>
  <c r="J204" i="138" s="1"/>
  <c r="F203" i="138"/>
  <c r="D203" i="138"/>
  <c r="J203" i="138" s="1"/>
  <c r="D202" i="138"/>
  <c r="J202" i="138" s="1"/>
  <c r="D201" i="138"/>
  <c r="J201" i="138" s="1"/>
  <c r="D200" i="138"/>
  <c r="D199" i="138"/>
  <c r="F198" i="138"/>
  <c r="G197" i="138" s="1"/>
  <c r="G220" i="138" s="1"/>
  <c r="D198" i="138"/>
  <c r="E194" i="138"/>
  <c r="D189" i="138"/>
  <c r="D188" i="138"/>
  <c r="D187" i="138"/>
  <c r="D186" i="138"/>
  <c r="D185" i="138"/>
  <c r="H184" i="138"/>
  <c r="F184" i="138" s="1"/>
  <c r="D184" i="138"/>
  <c r="D183" i="138"/>
  <c r="D182" i="138"/>
  <c r="D181" i="138"/>
  <c r="D180" i="138"/>
  <c r="D179" i="138"/>
  <c r="D178" i="138"/>
  <c r="D177" i="138"/>
  <c r="D176" i="138"/>
  <c r="H175" i="138"/>
  <c r="F175" i="138" s="1"/>
  <c r="D175" i="138"/>
  <c r="D174" i="138"/>
  <c r="D173" i="138"/>
  <c r="D172" i="138"/>
  <c r="D171" i="138"/>
  <c r="D170" i="138"/>
  <c r="D169" i="138"/>
  <c r="D166" i="138"/>
  <c r="D165" i="138"/>
  <c r="D164" i="138"/>
  <c r="D163" i="138"/>
  <c r="D162" i="138"/>
  <c r="D161" i="138"/>
  <c r="G160" i="138"/>
  <c r="E159" i="138"/>
  <c r="D157" i="138"/>
  <c r="D156" i="138"/>
  <c r="D155" i="138"/>
  <c r="D154" i="138"/>
  <c r="D153" i="138"/>
  <c r="D152" i="138"/>
  <c r="D151" i="138"/>
  <c r="D150" i="138"/>
  <c r="D149" i="138"/>
  <c r="D148" i="138"/>
  <c r="D147" i="138"/>
  <c r="D146" i="138"/>
  <c r="D145" i="138"/>
  <c r="D144" i="138"/>
  <c r="D143" i="138"/>
  <c r="D142" i="138"/>
  <c r="G141" i="138"/>
  <c r="D136" i="138"/>
  <c r="D135" i="138"/>
  <c r="H134" i="138"/>
  <c r="F134" i="138" s="1"/>
  <c r="G131" i="138" s="1"/>
  <c r="D134" i="138"/>
  <c r="D133" i="138"/>
  <c r="D132" i="138"/>
  <c r="D129" i="138"/>
  <c r="D128" i="138"/>
  <c r="D127" i="138"/>
  <c r="D126" i="138"/>
  <c r="D125" i="138"/>
  <c r="D124" i="138"/>
  <c r="D123" i="138"/>
  <c r="D122" i="138"/>
  <c r="D121" i="138"/>
  <c r="G120" i="138"/>
  <c r="D118" i="138"/>
  <c r="D117" i="138"/>
  <c r="G116" i="138"/>
  <c r="E114" i="138"/>
  <c r="E112" i="138"/>
  <c r="E110" i="138"/>
  <c r="D108" i="138"/>
  <c r="D107" i="138"/>
  <c r="D106" i="138"/>
  <c r="D105" i="138"/>
  <c r="D104" i="138"/>
  <c r="D103" i="138"/>
  <c r="D102" i="138"/>
  <c r="D101" i="138"/>
  <c r="D100" i="138"/>
  <c r="D99" i="138"/>
  <c r="D98" i="138"/>
  <c r="D97" i="138"/>
  <c r="D96" i="138"/>
  <c r="D95" i="138"/>
  <c r="D94" i="138"/>
  <c r="D93" i="138"/>
  <c r="D92" i="138"/>
  <c r="D91" i="138"/>
  <c r="D90" i="138"/>
  <c r="D89" i="138"/>
  <c r="D88" i="138"/>
  <c r="D87" i="138"/>
  <c r="H86" i="138"/>
  <c r="F86" i="138" s="1"/>
  <c r="G85" i="138" s="1"/>
  <c r="D86" i="138"/>
  <c r="G80" i="138"/>
  <c r="D80" i="138"/>
  <c r="D79" i="138"/>
  <c r="C79" i="138"/>
  <c r="A79" i="138"/>
  <c r="D78" i="138"/>
  <c r="D77" i="138"/>
  <c r="D76" i="138"/>
  <c r="H75" i="138"/>
  <c r="F75" i="138" s="1"/>
  <c r="G66" i="138" s="1"/>
  <c r="D75" i="138"/>
  <c r="D74" i="138"/>
  <c r="D73" i="138"/>
  <c r="D72" i="138"/>
  <c r="D71" i="138"/>
  <c r="D70" i="138"/>
  <c r="D69" i="138"/>
  <c r="D68" i="138"/>
  <c r="D67" i="138"/>
  <c r="H65" i="138"/>
  <c r="G65" i="138" s="1"/>
  <c r="E65" i="138"/>
  <c r="E64" i="138"/>
  <c r="G62" i="138"/>
  <c r="D62" i="138"/>
  <c r="D61" i="138"/>
  <c r="H60" i="138"/>
  <c r="G60" i="138" s="1"/>
  <c r="E60" i="138"/>
  <c r="D56" i="138"/>
  <c r="D55" i="138"/>
  <c r="D54" i="138"/>
  <c r="D53" i="138"/>
  <c r="G52" i="138"/>
  <c r="D49" i="138"/>
  <c r="D48" i="138"/>
  <c r="D47" i="138"/>
  <c r="D46" i="138"/>
  <c r="D45" i="138"/>
  <c r="D44" i="138"/>
  <c r="D43" i="138"/>
  <c r="E42" i="138"/>
  <c r="G41" i="138"/>
  <c r="G37" i="138"/>
  <c r="D35" i="138"/>
  <c r="D34" i="138"/>
  <c r="D33" i="138"/>
  <c r="D32" i="138"/>
  <c r="G31" i="138"/>
  <c r="E29" i="138"/>
  <c r="E28" i="138"/>
  <c r="F24" i="138"/>
  <c r="G24" i="138" s="1"/>
  <c r="D23" i="138"/>
  <c r="C23" i="138"/>
  <c r="A23" i="138"/>
  <c r="D22" i="138"/>
  <c r="D21" i="138"/>
  <c r="D20" i="138"/>
  <c r="C20" i="138"/>
  <c r="A20" i="138"/>
  <c r="D19" i="138"/>
  <c r="D18" i="138"/>
  <c r="D17" i="138"/>
  <c r="D16" i="138"/>
  <c r="D15" i="138"/>
  <c r="D14" i="138"/>
  <c r="D13" i="138"/>
  <c r="D12" i="138"/>
  <c r="D11" i="138"/>
  <c r="D10" i="138"/>
  <c r="D9" i="138"/>
  <c r="D8" i="138"/>
  <c r="D7" i="138"/>
  <c r="F4" i="138"/>
  <c r="D4" i="138"/>
  <c r="A3" i="138"/>
  <c r="P1559" i="137"/>
  <c r="O1559" i="137"/>
  <c r="N1559" i="137"/>
  <c r="M1559" i="137"/>
  <c r="L1559" i="137"/>
  <c r="J1559" i="137"/>
  <c r="I1559" i="137"/>
  <c r="H1559" i="137"/>
  <c r="F1559" i="137"/>
  <c r="F1564" i="137" s="1"/>
  <c r="M1557" i="137"/>
  <c r="G1557" i="137"/>
  <c r="M1556" i="137"/>
  <c r="G1556" i="137"/>
  <c r="M1555" i="137"/>
  <c r="G1555" i="137"/>
  <c r="M1554" i="137"/>
  <c r="G1554" i="137"/>
  <c r="G1559" i="137" s="1"/>
  <c r="G1553" i="137"/>
  <c r="P1552" i="137"/>
  <c r="O1552" i="137"/>
  <c r="N1552" i="137"/>
  <c r="L1552" i="137"/>
  <c r="L1560" i="137" s="1"/>
  <c r="J1552" i="137"/>
  <c r="I1552" i="137"/>
  <c r="H1552" i="137"/>
  <c r="F1552" i="137"/>
  <c r="F1560" i="137" s="1"/>
  <c r="M1540" i="137"/>
  <c r="G1540" i="137"/>
  <c r="M1538" i="137"/>
  <c r="G1538" i="137"/>
  <c r="M1536" i="137"/>
  <c r="G1536" i="137"/>
  <c r="M1535" i="137"/>
  <c r="G1535" i="137"/>
  <c r="M1534" i="137"/>
  <c r="G1534" i="137"/>
  <c r="M1533" i="137"/>
  <c r="G1533" i="137"/>
  <c r="G1552" i="137" s="1"/>
  <c r="G1560" i="137" s="1"/>
  <c r="M1532" i="137"/>
  <c r="G1532" i="137"/>
  <c r="L1525" i="137"/>
  <c r="M1525" i="137" s="1"/>
  <c r="F1525" i="137"/>
  <c r="G1525" i="137" s="1"/>
  <c r="M1524" i="137"/>
  <c r="G1524" i="137"/>
  <c r="M1523" i="137"/>
  <c r="G1523" i="137"/>
  <c r="G1522" i="137"/>
  <c r="G1521" i="137"/>
  <c r="M1520" i="137"/>
  <c r="G1520" i="137"/>
  <c r="M1519" i="137"/>
  <c r="G1519" i="137"/>
  <c r="L1518" i="137"/>
  <c r="F1518" i="137"/>
  <c r="F1526" i="137" s="1"/>
  <c r="M1517" i="137"/>
  <c r="G1517" i="137"/>
  <c r="G1516" i="137"/>
  <c r="G1515" i="137"/>
  <c r="M1514" i="137"/>
  <c r="G1514" i="137"/>
  <c r="G1513" i="137"/>
  <c r="C676" i="137" s="1"/>
  <c r="M1512" i="137"/>
  <c r="G1512" i="137"/>
  <c r="C682" i="137" s="1"/>
  <c r="M1511" i="137"/>
  <c r="G1511" i="137"/>
  <c r="M1510" i="137"/>
  <c r="L1510" i="137"/>
  <c r="F1510" i="137"/>
  <c r="G1510" i="137" s="1"/>
  <c r="M1508" i="137"/>
  <c r="G1508" i="137"/>
  <c r="M1507" i="137"/>
  <c r="G1507" i="137"/>
  <c r="M1506" i="137"/>
  <c r="G1506" i="137"/>
  <c r="M1505" i="137"/>
  <c r="G1505" i="137"/>
  <c r="M1504" i="137"/>
  <c r="G1504" i="137"/>
  <c r="G1503" i="137"/>
  <c r="M1502" i="137"/>
  <c r="G1502" i="137"/>
  <c r="C677" i="137" s="1"/>
  <c r="M1501" i="137"/>
  <c r="G1501" i="137"/>
  <c r="M1500" i="137"/>
  <c r="G1500" i="137"/>
  <c r="M1499" i="137"/>
  <c r="G1499" i="137"/>
  <c r="M1498" i="137"/>
  <c r="G1498" i="137"/>
  <c r="C680" i="137" s="1"/>
  <c r="C654" i="137" s="1"/>
  <c r="G1473" i="137"/>
  <c r="G1472" i="137"/>
  <c r="O1469" i="137"/>
  <c r="G1468" i="137"/>
  <c r="K1468" i="137" s="1"/>
  <c r="L1468" i="137" s="1"/>
  <c r="G1467" i="137"/>
  <c r="K1467" i="137" s="1"/>
  <c r="L1467" i="137" s="1"/>
  <c r="G1466" i="137"/>
  <c r="K1466" i="137" s="1"/>
  <c r="L1466" i="137" s="1"/>
  <c r="G1465" i="137"/>
  <c r="K1465" i="137" s="1"/>
  <c r="L1465" i="137" s="1"/>
  <c r="G1464" i="137"/>
  <c r="K1464" i="137" s="1"/>
  <c r="L1464" i="137" s="1"/>
  <c r="G1463" i="137"/>
  <c r="K1463" i="137" s="1"/>
  <c r="L1463" i="137" s="1"/>
  <c r="G1462" i="137"/>
  <c r="K1462" i="137" s="1"/>
  <c r="L1462" i="137" s="1"/>
  <c r="G1461" i="137"/>
  <c r="G1457" i="137"/>
  <c r="K1457" i="137" s="1"/>
  <c r="L1457" i="137" s="1"/>
  <c r="G1456" i="137"/>
  <c r="K1456" i="137" s="1"/>
  <c r="L1456" i="137" s="1"/>
  <c r="G1455" i="137"/>
  <c r="K1455" i="137" s="1"/>
  <c r="L1455" i="137" s="1"/>
  <c r="G1454" i="137"/>
  <c r="K1454" i="137" s="1"/>
  <c r="L1454" i="137" s="1"/>
  <c r="G1453" i="137"/>
  <c r="K1453" i="137" s="1"/>
  <c r="L1453" i="137" s="1"/>
  <c r="G1452" i="137"/>
  <c r="O1447" i="137"/>
  <c r="L1447" i="137"/>
  <c r="I1447" i="137"/>
  <c r="G1447" i="137"/>
  <c r="H1447" i="137" s="1"/>
  <c r="C296" i="137" s="1"/>
  <c r="D1447" i="137"/>
  <c r="O1441" i="137"/>
  <c r="G1441" i="137"/>
  <c r="G1434" i="137" s="1"/>
  <c r="L1440" i="137"/>
  <c r="L1434" i="137" s="1"/>
  <c r="K1440" i="137"/>
  <c r="H1440" i="137" s="1"/>
  <c r="C385" i="137" s="1"/>
  <c r="G1440" i="137"/>
  <c r="H1439" i="137"/>
  <c r="G1437" i="137"/>
  <c r="G1438" i="137" s="1"/>
  <c r="O1436" i="137"/>
  <c r="L1436" i="137"/>
  <c r="K1436" i="137"/>
  <c r="G1424" i="137"/>
  <c r="F1424" i="137"/>
  <c r="E1423" i="137"/>
  <c r="D1423" i="137"/>
  <c r="E1422" i="137"/>
  <c r="D1422" i="137"/>
  <c r="E1421" i="137"/>
  <c r="D1421" i="137"/>
  <c r="E1420" i="137"/>
  <c r="D1420" i="137"/>
  <c r="E1419" i="137"/>
  <c r="D1419" i="137"/>
  <c r="A1419" i="137"/>
  <c r="E1418" i="137"/>
  <c r="D1418" i="137"/>
  <c r="E1417" i="137"/>
  <c r="D1417" i="137"/>
  <c r="E1416" i="137"/>
  <c r="D1416" i="137"/>
  <c r="E1415" i="137"/>
  <c r="D1415" i="137"/>
  <c r="E1414" i="137"/>
  <c r="D1414" i="137"/>
  <c r="A1414" i="137"/>
  <c r="E1413" i="137"/>
  <c r="D1413" i="137"/>
  <c r="E1412" i="137"/>
  <c r="D1412" i="137"/>
  <c r="E1411" i="137"/>
  <c r="D1411" i="137"/>
  <c r="B1411" i="137"/>
  <c r="A1411" i="137"/>
  <c r="E1410" i="137"/>
  <c r="D1410" i="137"/>
  <c r="E1409" i="137"/>
  <c r="D1409" i="137"/>
  <c r="E1408" i="137"/>
  <c r="D1408" i="137"/>
  <c r="E1407" i="137"/>
  <c r="D1407" i="137"/>
  <c r="E1406" i="137"/>
  <c r="D1406" i="137"/>
  <c r="E1405" i="137"/>
  <c r="D1405" i="137"/>
  <c r="B1405" i="137"/>
  <c r="A1405" i="137"/>
  <c r="E1404" i="137"/>
  <c r="D1404" i="137"/>
  <c r="E1403" i="137"/>
  <c r="D1403" i="137"/>
  <c r="E1402" i="137"/>
  <c r="D1402" i="137"/>
  <c r="A1402" i="137"/>
  <c r="E1401" i="137"/>
  <c r="D1401" i="137"/>
  <c r="E1400" i="137"/>
  <c r="D1400" i="137"/>
  <c r="A1400" i="137"/>
  <c r="E1399" i="137"/>
  <c r="D1399" i="137"/>
  <c r="A1399" i="137"/>
  <c r="E1398" i="137"/>
  <c r="D1398" i="137"/>
  <c r="E1397" i="137"/>
  <c r="D1397" i="137"/>
  <c r="A1397" i="137"/>
  <c r="E1396" i="137"/>
  <c r="D1396" i="137"/>
  <c r="B1396" i="137"/>
  <c r="A1396" i="137"/>
  <c r="E1395" i="137"/>
  <c r="D1395" i="137"/>
  <c r="A1395" i="137"/>
  <c r="E1394" i="137"/>
  <c r="D1394" i="137"/>
  <c r="A1394" i="137"/>
  <c r="E1393" i="137"/>
  <c r="D1393" i="137"/>
  <c r="A1393" i="137"/>
  <c r="E1392" i="137"/>
  <c r="D1392" i="137"/>
  <c r="A1392" i="137"/>
  <c r="E1391" i="137"/>
  <c r="D1391" i="137"/>
  <c r="A1391" i="137"/>
  <c r="E1390" i="137"/>
  <c r="D1390" i="137"/>
  <c r="A1390" i="137"/>
  <c r="E1389" i="137"/>
  <c r="D1389" i="137"/>
  <c r="A1389" i="137"/>
  <c r="E1388" i="137"/>
  <c r="D1388" i="137"/>
  <c r="A1388" i="137"/>
  <c r="E1387" i="137"/>
  <c r="D1387" i="137"/>
  <c r="B1387" i="137"/>
  <c r="A1387" i="137"/>
  <c r="E1386" i="137"/>
  <c r="D1386" i="137"/>
  <c r="A1386" i="137"/>
  <c r="E1385" i="137"/>
  <c r="D1385" i="137"/>
  <c r="A1385" i="137"/>
  <c r="E1384" i="137"/>
  <c r="D1384" i="137"/>
  <c r="A1384" i="137"/>
  <c r="E1383" i="137"/>
  <c r="D1383" i="137"/>
  <c r="A1383" i="137"/>
  <c r="E1382" i="137"/>
  <c r="D1382" i="137"/>
  <c r="A1382" i="137"/>
  <c r="E1381" i="137"/>
  <c r="D1381" i="137"/>
  <c r="A1381" i="137"/>
  <c r="E1380" i="137"/>
  <c r="D1380" i="137"/>
  <c r="A1380" i="137"/>
  <c r="E1379" i="137"/>
  <c r="D1379" i="137"/>
  <c r="A1379" i="137"/>
  <c r="E1378" i="137"/>
  <c r="D1378" i="137"/>
  <c r="A1378" i="137"/>
  <c r="E1377" i="137"/>
  <c r="D1377" i="137"/>
  <c r="A1377" i="137"/>
  <c r="E1376" i="137"/>
  <c r="D1376" i="137"/>
  <c r="A1376" i="137"/>
  <c r="E1375" i="137"/>
  <c r="D1375" i="137"/>
  <c r="A1375" i="137"/>
  <c r="E1374" i="137"/>
  <c r="D1374" i="137"/>
  <c r="A1374" i="137"/>
  <c r="E1373" i="137"/>
  <c r="D1373" i="137"/>
  <c r="A1373" i="137"/>
  <c r="E1372" i="137"/>
  <c r="D1372" i="137"/>
  <c r="A1372" i="137"/>
  <c r="E1371" i="137"/>
  <c r="D1371" i="137"/>
  <c r="A1371" i="137"/>
  <c r="E1370" i="137"/>
  <c r="D1370" i="137"/>
  <c r="A1370" i="137"/>
  <c r="E1369" i="137"/>
  <c r="D1369" i="137"/>
  <c r="A1369" i="137"/>
  <c r="E1368" i="137"/>
  <c r="D1368" i="137"/>
  <c r="A1368" i="137"/>
  <c r="E1367" i="137"/>
  <c r="D1367" i="137"/>
  <c r="A1367" i="137"/>
  <c r="E1366" i="137"/>
  <c r="D1366" i="137"/>
  <c r="E1365" i="137"/>
  <c r="D1365" i="137"/>
  <c r="E1364" i="137"/>
  <c r="D1364" i="137"/>
  <c r="E1363" i="137"/>
  <c r="D1363" i="137"/>
  <c r="E1362" i="137"/>
  <c r="D1362" i="137"/>
  <c r="E1361" i="137"/>
  <c r="D1361" i="137"/>
  <c r="E1360" i="137"/>
  <c r="D1360" i="137"/>
  <c r="E1359" i="137"/>
  <c r="D1359" i="137"/>
  <c r="E1358" i="137"/>
  <c r="D1358" i="137"/>
  <c r="E1357" i="137"/>
  <c r="D1357" i="137"/>
  <c r="E1356" i="137"/>
  <c r="D1356" i="137"/>
  <c r="E1355" i="137"/>
  <c r="D1355" i="137"/>
  <c r="E1354" i="137"/>
  <c r="D1354" i="137"/>
  <c r="E1353" i="137"/>
  <c r="D1353" i="137"/>
  <c r="E1352" i="137"/>
  <c r="D1352" i="137"/>
  <c r="E1351" i="137"/>
  <c r="D1351" i="137"/>
  <c r="E1350" i="137"/>
  <c r="D1350" i="137"/>
  <c r="E1349" i="137"/>
  <c r="D1349" i="137"/>
  <c r="E1348" i="137"/>
  <c r="D1348" i="137"/>
  <c r="E1347" i="137"/>
  <c r="D1347" i="137"/>
  <c r="E1346" i="137"/>
  <c r="D1346" i="137"/>
  <c r="E1345" i="137"/>
  <c r="D1345" i="137"/>
  <c r="E1344" i="137"/>
  <c r="D1344" i="137"/>
  <c r="E1343" i="137"/>
  <c r="D1343" i="137"/>
  <c r="E1342" i="137"/>
  <c r="D1342" i="137"/>
  <c r="E1341" i="137"/>
  <c r="D1341" i="137"/>
  <c r="E1340" i="137"/>
  <c r="D1340" i="137"/>
  <c r="E1339" i="137"/>
  <c r="D1339" i="137"/>
  <c r="E1338" i="137"/>
  <c r="D1338" i="137"/>
  <c r="E1337" i="137"/>
  <c r="D1337" i="137"/>
  <c r="E1336" i="137"/>
  <c r="D1336" i="137"/>
  <c r="E1335" i="137"/>
  <c r="D1335" i="137"/>
  <c r="E1334" i="137"/>
  <c r="D1334" i="137"/>
  <c r="E1333" i="137"/>
  <c r="D1333" i="137"/>
  <c r="E1332" i="137"/>
  <c r="D1332" i="137"/>
  <c r="E1331" i="137"/>
  <c r="D1331" i="137"/>
  <c r="E1330" i="137"/>
  <c r="D1330" i="137"/>
  <c r="E1329" i="137"/>
  <c r="D1329" i="137"/>
  <c r="E1328" i="137"/>
  <c r="D1328" i="137"/>
  <c r="E1327" i="137"/>
  <c r="D1327" i="137"/>
  <c r="E1326" i="137"/>
  <c r="D1326" i="137"/>
  <c r="E1325" i="137"/>
  <c r="D1325" i="137"/>
  <c r="E1324" i="137"/>
  <c r="D1324" i="137"/>
  <c r="E1323" i="137"/>
  <c r="D1323" i="137"/>
  <c r="E1322" i="137"/>
  <c r="D1322" i="137"/>
  <c r="E1321" i="137"/>
  <c r="D1321" i="137"/>
  <c r="E1320" i="137"/>
  <c r="D1320" i="137"/>
  <c r="E1319" i="137"/>
  <c r="D1319" i="137"/>
  <c r="E1318" i="137"/>
  <c r="D1318" i="137"/>
  <c r="E1317" i="137"/>
  <c r="D1317" i="137"/>
  <c r="E1316" i="137"/>
  <c r="D1316" i="137"/>
  <c r="E1315" i="137"/>
  <c r="D1315" i="137"/>
  <c r="E1314" i="137"/>
  <c r="D1314" i="137"/>
  <c r="E1313" i="137"/>
  <c r="D1313" i="137"/>
  <c r="E1312" i="137"/>
  <c r="D1312" i="137"/>
  <c r="E1311" i="137"/>
  <c r="D1311" i="137"/>
  <c r="E1310" i="137"/>
  <c r="D1310" i="137"/>
  <c r="E1309" i="137"/>
  <c r="D1309" i="137"/>
  <c r="E1308" i="137"/>
  <c r="D1308" i="137"/>
  <c r="E1307" i="137"/>
  <c r="D1307" i="137"/>
  <c r="E1306" i="137"/>
  <c r="D1306" i="137"/>
  <c r="E1305" i="137"/>
  <c r="D1305" i="137"/>
  <c r="E1304" i="137"/>
  <c r="D1304" i="137"/>
  <c r="E1303" i="137"/>
  <c r="D1303" i="137"/>
  <c r="E1302" i="137"/>
  <c r="D1302" i="137"/>
  <c r="E1301" i="137"/>
  <c r="D1301" i="137"/>
  <c r="E1300" i="137"/>
  <c r="D1300" i="137"/>
  <c r="E1299" i="137"/>
  <c r="D1299" i="137"/>
  <c r="E1298" i="137"/>
  <c r="D1298" i="137"/>
  <c r="E1297" i="137"/>
  <c r="D1297" i="137"/>
  <c r="E1296" i="137"/>
  <c r="D1296" i="137"/>
  <c r="E1295" i="137"/>
  <c r="D1295" i="137"/>
  <c r="E1294" i="137"/>
  <c r="D1294" i="137"/>
  <c r="E1293" i="137"/>
  <c r="D1293" i="137"/>
  <c r="E1292" i="137"/>
  <c r="D1292" i="137"/>
  <c r="E1291" i="137"/>
  <c r="D1291" i="137"/>
  <c r="E1290" i="137"/>
  <c r="D1290" i="137"/>
  <c r="E1289" i="137"/>
  <c r="D1289" i="137"/>
  <c r="E1288" i="137"/>
  <c r="D1288" i="137"/>
  <c r="E1287" i="137"/>
  <c r="D1287" i="137"/>
  <c r="G1284" i="137"/>
  <c r="F1284" i="137"/>
  <c r="E1283" i="137"/>
  <c r="D1283" i="137"/>
  <c r="E1282" i="137"/>
  <c r="D1282" i="137"/>
  <c r="E1281" i="137"/>
  <c r="D1281" i="137"/>
  <c r="E1280" i="137"/>
  <c r="D1280" i="137"/>
  <c r="E1279" i="137"/>
  <c r="D1279" i="137"/>
  <c r="E1278" i="137"/>
  <c r="D1278" i="137"/>
  <c r="E1277" i="137"/>
  <c r="D1277" i="137"/>
  <c r="E1276" i="137"/>
  <c r="D1276" i="137"/>
  <c r="E1275" i="137"/>
  <c r="D1275" i="137"/>
  <c r="E1274" i="137"/>
  <c r="D1274" i="137"/>
  <c r="E1273" i="137"/>
  <c r="D1273" i="137"/>
  <c r="E1272" i="137"/>
  <c r="D1272" i="137"/>
  <c r="E1271" i="137"/>
  <c r="D1271" i="137"/>
  <c r="E1270" i="137"/>
  <c r="D1270" i="137"/>
  <c r="E1269" i="137"/>
  <c r="D1269" i="137"/>
  <c r="E1268" i="137"/>
  <c r="D1268" i="137"/>
  <c r="E1267" i="137"/>
  <c r="D1267" i="137"/>
  <c r="E1266" i="137"/>
  <c r="D1266" i="137"/>
  <c r="E1265" i="137"/>
  <c r="D1265" i="137"/>
  <c r="E1264" i="137"/>
  <c r="D1264" i="137"/>
  <c r="E1263" i="137"/>
  <c r="D1263" i="137"/>
  <c r="E1262" i="137"/>
  <c r="D1262" i="137"/>
  <c r="E1261" i="137"/>
  <c r="D1261" i="137"/>
  <c r="E1260" i="137"/>
  <c r="D1260" i="137"/>
  <c r="E1259" i="137"/>
  <c r="D1259" i="137"/>
  <c r="E1258" i="137"/>
  <c r="D1258" i="137"/>
  <c r="E1257" i="137"/>
  <c r="D1257" i="137"/>
  <c r="E1256" i="137"/>
  <c r="D1256" i="137"/>
  <c r="E1255" i="137"/>
  <c r="D1255" i="137"/>
  <c r="E1254" i="137"/>
  <c r="D1254" i="137"/>
  <c r="E1253" i="137"/>
  <c r="D1253" i="137"/>
  <c r="E1252" i="137"/>
  <c r="D1252" i="137"/>
  <c r="E1251" i="137"/>
  <c r="D1251" i="137"/>
  <c r="E1250" i="137"/>
  <c r="D1250" i="137"/>
  <c r="G1248" i="137"/>
  <c r="F1248" i="137"/>
  <c r="E1247" i="137"/>
  <c r="D1247" i="137"/>
  <c r="E1246" i="137"/>
  <c r="D1246" i="137"/>
  <c r="E1245" i="137"/>
  <c r="D1245" i="137"/>
  <c r="B1245" i="137"/>
  <c r="A1245" i="137"/>
  <c r="E1244" i="137"/>
  <c r="D1244" i="137"/>
  <c r="B1244" i="137"/>
  <c r="A1244" i="137"/>
  <c r="E1243" i="137"/>
  <c r="D1243" i="137"/>
  <c r="E1242" i="137"/>
  <c r="D1242" i="137"/>
  <c r="E1241" i="137"/>
  <c r="D1241" i="137"/>
  <c r="E1240" i="137"/>
  <c r="D1240" i="137"/>
  <c r="E1239" i="137"/>
  <c r="D1239" i="137"/>
  <c r="E1238" i="137"/>
  <c r="D1238" i="137"/>
  <c r="E1237" i="137"/>
  <c r="D1237" i="137"/>
  <c r="E1236" i="137"/>
  <c r="D1236" i="137"/>
  <c r="B1236" i="137"/>
  <c r="A1236" i="137"/>
  <c r="E1235" i="137"/>
  <c r="D1235" i="137"/>
  <c r="E1234" i="137"/>
  <c r="D1234" i="137"/>
  <c r="E1233" i="137"/>
  <c r="D1233" i="137"/>
  <c r="B1233" i="137"/>
  <c r="A1233" i="137"/>
  <c r="E1232" i="137"/>
  <c r="D1232" i="137"/>
  <c r="B1232" i="137"/>
  <c r="A1232" i="137"/>
  <c r="E1231" i="137"/>
  <c r="D1231" i="137"/>
  <c r="B1231" i="137"/>
  <c r="A1231" i="137"/>
  <c r="E1230" i="137"/>
  <c r="D1230" i="137"/>
  <c r="E1229" i="137"/>
  <c r="D1229" i="137"/>
  <c r="E1228" i="137"/>
  <c r="D1228" i="137"/>
  <c r="E1227" i="137"/>
  <c r="D1227" i="137"/>
  <c r="E1226" i="137"/>
  <c r="D1226" i="137"/>
  <c r="E1225" i="137"/>
  <c r="D1225" i="137"/>
  <c r="E1224" i="137"/>
  <c r="D1224" i="137"/>
  <c r="E1223" i="137"/>
  <c r="D1223" i="137"/>
  <c r="E1222" i="137"/>
  <c r="D1222" i="137"/>
  <c r="E1221" i="137"/>
  <c r="D1221" i="137"/>
  <c r="E1220" i="137"/>
  <c r="D1220" i="137"/>
  <c r="E1219" i="137"/>
  <c r="D1219" i="137"/>
  <c r="E1218" i="137"/>
  <c r="D1218" i="137"/>
  <c r="E1217" i="137"/>
  <c r="D1217" i="137"/>
  <c r="E1216" i="137"/>
  <c r="D1216" i="137"/>
  <c r="E1215" i="137"/>
  <c r="D1215" i="137"/>
  <c r="E1214" i="137"/>
  <c r="D1214" i="137"/>
  <c r="E1213" i="137"/>
  <c r="D1213" i="137"/>
  <c r="E1212" i="137"/>
  <c r="D1212" i="137"/>
  <c r="E1211" i="137"/>
  <c r="D1211" i="137"/>
  <c r="E1210" i="137"/>
  <c r="D1210" i="137"/>
  <c r="E1209" i="137"/>
  <c r="D1209" i="137"/>
  <c r="E1208" i="137"/>
  <c r="D1208" i="137"/>
  <c r="E1207" i="137"/>
  <c r="D1207" i="137"/>
  <c r="E1206" i="137"/>
  <c r="D1206" i="137"/>
  <c r="E1205" i="137"/>
  <c r="D1205" i="137"/>
  <c r="E1204" i="137"/>
  <c r="D1204" i="137"/>
  <c r="E1203" i="137"/>
  <c r="D1203" i="137"/>
  <c r="E1202" i="137"/>
  <c r="D1202" i="137"/>
  <c r="E1201" i="137"/>
  <c r="D1201" i="137"/>
  <c r="E1200" i="137"/>
  <c r="D1200" i="137"/>
  <c r="E1199" i="137"/>
  <c r="D1199" i="137"/>
  <c r="E1198" i="137"/>
  <c r="D1198" i="137"/>
  <c r="E1197" i="137"/>
  <c r="D1197" i="137"/>
  <c r="E1196" i="137"/>
  <c r="D1196" i="137"/>
  <c r="E1195" i="137"/>
  <c r="D1195" i="137"/>
  <c r="E1194" i="137"/>
  <c r="D1194" i="137"/>
  <c r="E1193" i="137"/>
  <c r="D1193" i="137"/>
  <c r="E1192" i="137"/>
  <c r="D1192" i="137"/>
  <c r="E1191" i="137"/>
  <c r="D1191" i="137"/>
  <c r="E1190" i="137"/>
  <c r="D1190" i="137"/>
  <c r="E1189" i="137"/>
  <c r="D1189" i="137"/>
  <c r="E1188" i="137"/>
  <c r="D1188" i="137"/>
  <c r="E1187" i="137"/>
  <c r="D1187" i="137"/>
  <c r="E1186" i="137"/>
  <c r="D1186" i="137"/>
  <c r="E1185" i="137"/>
  <c r="D1185" i="137"/>
  <c r="E1184" i="137"/>
  <c r="D1184" i="137"/>
  <c r="E1183" i="137"/>
  <c r="D1183" i="137"/>
  <c r="E1182" i="137"/>
  <c r="D1182" i="137"/>
  <c r="E1181" i="137"/>
  <c r="D1181" i="137"/>
  <c r="E1180" i="137"/>
  <c r="D1180" i="137"/>
  <c r="E1179" i="137"/>
  <c r="D1179" i="137"/>
  <c r="E1178" i="137"/>
  <c r="D1178" i="137"/>
  <c r="E1177" i="137"/>
  <c r="D1177" i="137"/>
  <c r="E1176" i="137"/>
  <c r="D1176" i="137"/>
  <c r="E1175" i="137"/>
  <c r="D1175" i="137"/>
  <c r="E1174" i="137"/>
  <c r="D1174" i="137"/>
  <c r="E1173" i="137"/>
  <c r="D1173" i="137"/>
  <c r="E1172" i="137"/>
  <c r="D1172" i="137"/>
  <c r="E1171" i="137"/>
  <c r="D1171" i="137"/>
  <c r="E1170" i="137"/>
  <c r="D1170" i="137"/>
  <c r="E1169" i="137"/>
  <c r="D1169" i="137"/>
  <c r="E1168" i="137"/>
  <c r="D1168" i="137"/>
  <c r="E1167" i="137"/>
  <c r="D1167" i="137"/>
  <c r="E1166" i="137"/>
  <c r="D1166" i="137"/>
  <c r="E1165" i="137"/>
  <c r="D1165" i="137"/>
  <c r="E1164" i="137"/>
  <c r="D1164" i="137"/>
  <c r="E1163" i="137"/>
  <c r="D1163" i="137"/>
  <c r="E1162" i="137"/>
  <c r="D1162" i="137"/>
  <c r="E1161" i="137"/>
  <c r="D1161" i="137"/>
  <c r="E1160" i="137"/>
  <c r="D1160" i="137"/>
  <c r="E1159" i="137"/>
  <c r="D1159" i="137"/>
  <c r="F1154" i="137"/>
  <c r="D1153" i="137"/>
  <c r="D1152" i="137"/>
  <c r="D1151" i="137"/>
  <c r="D1150" i="137"/>
  <c r="D1149" i="137"/>
  <c r="D1148" i="137"/>
  <c r="D1147" i="137"/>
  <c r="D1146" i="137"/>
  <c r="D1145" i="137"/>
  <c r="D1144" i="137"/>
  <c r="D1143" i="137"/>
  <c r="D1142" i="137"/>
  <c r="D1141" i="137"/>
  <c r="D1140" i="137"/>
  <c r="D1139" i="137"/>
  <c r="D1138" i="137"/>
  <c r="D1137" i="137"/>
  <c r="D1136" i="137"/>
  <c r="D1135" i="137"/>
  <c r="D1134" i="137"/>
  <c r="D1133" i="137"/>
  <c r="D1132" i="137"/>
  <c r="D1131" i="137"/>
  <c r="D1130" i="137"/>
  <c r="D1129" i="137"/>
  <c r="D1128" i="137"/>
  <c r="D1127" i="137"/>
  <c r="D1126" i="137"/>
  <c r="D1125" i="137"/>
  <c r="D1124" i="137"/>
  <c r="D1123" i="137"/>
  <c r="D1122" i="137"/>
  <c r="D1121" i="137"/>
  <c r="D1120" i="137"/>
  <c r="D1119" i="137"/>
  <c r="D1118" i="137"/>
  <c r="D1117" i="137"/>
  <c r="D1116" i="137"/>
  <c r="D1115" i="137"/>
  <c r="D1114" i="137"/>
  <c r="D1113" i="137"/>
  <c r="D1112" i="137"/>
  <c r="D1111" i="137"/>
  <c r="D1110" i="137"/>
  <c r="D1109" i="137"/>
  <c r="D1108" i="137"/>
  <c r="D1107" i="137"/>
  <c r="D1106" i="137"/>
  <c r="D1105" i="137"/>
  <c r="D1104" i="137"/>
  <c r="D1103" i="137"/>
  <c r="D1102" i="137"/>
  <c r="D1101" i="137"/>
  <c r="D1100" i="137"/>
  <c r="D1099" i="137"/>
  <c r="D1098" i="137"/>
  <c r="D1097" i="137"/>
  <c r="D1096" i="137"/>
  <c r="D1095" i="137"/>
  <c r="D1094" i="137"/>
  <c r="D1093" i="137"/>
  <c r="D1092" i="137"/>
  <c r="D1091" i="137"/>
  <c r="D1090" i="137"/>
  <c r="D1089" i="137"/>
  <c r="D1088" i="137"/>
  <c r="D1087" i="137"/>
  <c r="D1086" i="137"/>
  <c r="D1085" i="137"/>
  <c r="D1084" i="137"/>
  <c r="D1083" i="137"/>
  <c r="D1082" i="137"/>
  <c r="D1081" i="137"/>
  <c r="D1080" i="137"/>
  <c r="D1079" i="137"/>
  <c r="D1078" i="137"/>
  <c r="D1077" i="137"/>
  <c r="D1076" i="137"/>
  <c r="D1075" i="137"/>
  <c r="D1074" i="137"/>
  <c r="D1073" i="137"/>
  <c r="D1072" i="137"/>
  <c r="D1071" i="137"/>
  <c r="D1070" i="137"/>
  <c r="D1069" i="137"/>
  <c r="D1068" i="137"/>
  <c r="D1067" i="137"/>
  <c r="D1066" i="137"/>
  <c r="D1065" i="137"/>
  <c r="D1064" i="137"/>
  <c r="D1063" i="137"/>
  <c r="D1062" i="137"/>
  <c r="D1061" i="137"/>
  <c r="D1060" i="137"/>
  <c r="D1059" i="137"/>
  <c r="D1058" i="137"/>
  <c r="D1057" i="137"/>
  <c r="D1056" i="137"/>
  <c r="D1055" i="137"/>
  <c r="D1054" i="137"/>
  <c r="D1053" i="137"/>
  <c r="D1052" i="137"/>
  <c r="D1051" i="137"/>
  <c r="D1050" i="137"/>
  <c r="D1049" i="137"/>
  <c r="D1048" i="137"/>
  <c r="D1047" i="137"/>
  <c r="D1046" i="137"/>
  <c r="D1045" i="137"/>
  <c r="D1044" i="137"/>
  <c r="D1043" i="137"/>
  <c r="D1042" i="137"/>
  <c r="D1041" i="137"/>
  <c r="D1040" i="137"/>
  <c r="D1039" i="137"/>
  <c r="D1038" i="137"/>
  <c r="D1037" i="137"/>
  <c r="D1036" i="137"/>
  <c r="D1035" i="137"/>
  <c r="D1034" i="137"/>
  <c r="D1033" i="137"/>
  <c r="D1032" i="137"/>
  <c r="D1031" i="137"/>
  <c r="D1030" i="137"/>
  <c r="D1029" i="137"/>
  <c r="D1028" i="137"/>
  <c r="D1027" i="137"/>
  <c r="D1026" i="137"/>
  <c r="D1025" i="137"/>
  <c r="D1024" i="137"/>
  <c r="D1023" i="137"/>
  <c r="D1022" i="137"/>
  <c r="D1021" i="137"/>
  <c r="D1020" i="137"/>
  <c r="D1019" i="137"/>
  <c r="D1018" i="137"/>
  <c r="D1017" i="137"/>
  <c r="D1016" i="137"/>
  <c r="D1015" i="137"/>
  <c r="D1014" i="137"/>
  <c r="D1013" i="137"/>
  <c r="D1012" i="137"/>
  <c r="D1011" i="137"/>
  <c r="D1010" i="137"/>
  <c r="D1009" i="137"/>
  <c r="D1008" i="137"/>
  <c r="D1007" i="137"/>
  <c r="D1006" i="137"/>
  <c r="D1005" i="137"/>
  <c r="D1004" i="137"/>
  <c r="D1003" i="137"/>
  <c r="D1002" i="137"/>
  <c r="D1001" i="137"/>
  <c r="D1000" i="137"/>
  <c r="D999" i="137"/>
  <c r="D998" i="137"/>
  <c r="D997" i="137"/>
  <c r="D996" i="137"/>
  <c r="D995" i="137"/>
  <c r="D994" i="137"/>
  <c r="D993" i="137"/>
  <c r="D992" i="137"/>
  <c r="D991" i="137"/>
  <c r="D990" i="137"/>
  <c r="D989" i="137"/>
  <c r="D988" i="137"/>
  <c r="D987" i="137"/>
  <c r="D986" i="137"/>
  <c r="D985" i="137"/>
  <c r="D984" i="137"/>
  <c r="D983" i="137"/>
  <c r="B983" i="137"/>
  <c r="D982" i="137"/>
  <c r="D981" i="137"/>
  <c r="D980" i="137"/>
  <c r="D979" i="137"/>
  <c r="D978" i="137"/>
  <c r="D977" i="137"/>
  <c r="D976" i="137"/>
  <c r="D975" i="137"/>
  <c r="D974" i="137"/>
  <c r="D973" i="137"/>
  <c r="D972" i="137"/>
  <c r="D971" i="137"/>
  <c r="D970" i="137"/>
  <c r="D969" i="137"/>
  <c r="D968" i="137"/>
  <c r="D967" i="137"/>
  <c r="D966" i="137"/>
  <c r="D965" i="137"/>
  <c r="D964" i="137"/>
  <c r="D963" i="137"/>
  <c r="D962" i="137"/>
  <c r="D961" i="137"/>
  <c r="D960" i="137"/>
  <c r="D959" i="137"/>
  <c r="D958" i="137"/>
  <c r="D957" i="137"/>
  <c r="D956" i="137"/>
  <c r="D955" i="137"/>
  <c r="D954" i="137"/>
  <c r="D953" i="137"/>
  <c r="D952" i="137"/>
  <c r="D951" i="137"/>
  <c r="D950" i="137"/>
  <c r="D949" i="137"/>
  <c r="D948" i="137"/>
  <c r="D947" i="137"/>
  <c r="D946" i="137"/>
  <c r="D945" i="137"/>
  <c r="D944" i="137"/>
  <c r="D943" i="137"/>
  <c r="D942" i="137"/>
  <c r="D941" i="137"/>
  <c r="D940" i="137"/>
  <c r="D939" i="137"/>
  <c r="D938" i="137"/>
  <c r="D937" i="137"/>
  <c r="D936" i="137"/>
  <c r="D935" i="137"/>
  <c r="D934" i="137"/>
  <c r="D933" i="137"/>
  <c r="D932" i="137"/>
  <c r="D931" i="137"/>
  <c r="D930" i="137"/>
  <c r="D929" i="137"/>
  <c r="D928" i="137"/>
  <c r="D927" i="137"/>
  <c r="D926" i="137"/>
  <c r="D925" i="137"/>
  <c r="D924" i="137"/>
  <c r="D923" i="137"/>
  <c r="D922" i="137"/>
  <c r="D921" i="137"/>
  <c r="D920" i="137"/>
  <c r="D919" i="137"/>
  <c r="D918" i="137"/>
  <c r="D917" i="137"/>
  <c r="D916" i="137"/>
  <c r="D915" i="137"/>
  <c r="D914" i="137"/>
  <c r="D913" i="137"/>
  <c r="D912" i="137"/>
  <c r="D911" i="137"/>
  <c r="D910" i="137"/>
  <c r="D909" i="137"/>
  <c r="D908" i="137"/>
  <c r="D907" i="137"/>
  <c r="D906" i="137"/>
  <c r="D905" i="137"/>
  <c r="D904" i="137"/>
  <c r="D903" i="137"/>
  <c r="D902" i="137"/>
  <c r="D901" i="137"/>
  <c r="D900" i="137"/>
  <c r="D899" i="137"/>
  <c r="D898" i="137"/>
  <c r="D897" i="137"/>
  <c r="D896" i="137"/>
  <c r="D895" i="137"/>
  <c r="D894" i="137"/>
  <c r="D893" i="137"/>
  <c r="D892" i="137"/>
  <c r="D891" i="137"/>
  <c r="D890" i="137"/>
  <c r="D889" i="137"/>
  <c r="D888" i="137"/>
  <c r="D887" i="137"/>
  <c r="D886" i="137"/>
  <c r="D885" i="137"/>
  <c r="D884" i="137"/>
  <c r="D883" i="137"/>
  <c r="D882" i="137"/>
  <c r="D881" i="137"/>
  <c r="D880" i="137"/>
  <c r="D879" i="137"/>
  <c r="D878" i="137"/>
  <c r="D877" i="137"/>
  <c r="D876" i="137"/>
  <c r="D875" i="137"/>
  <c r="D874" i="137"/>
  <c r="D873" i="137"/>
  <c r="D872" i="137"/>
  <c r="D871" i="137"/>
  <c r="D870" i="137"/>
  <c r="D869" i="137"/>
  <c r="D868" i="137"/>
  <c r="D867" i="137"/>
  <c r="D866" i="137"/>
  <c r="D865" i="137"/>
  <c r="D864" i="137"/>
  <c r="D863" i="137"/>
  <c r="F860" i="137"/>
  <c r="D859" i="137"/>
  <c r="D858" i="137"/>
  <c r="D857" i="137"/>
  <c r="D856" i="137"/>
  <c r="D855" i="137"/>
  <c r="D854" i="137"/>
  <c r="D853" i="137"/>
  <c r="D852" i="137"/>
  <c r="D851" i="137"/>
  <c r="D850" i="137"/>
  <c r="D849" i="137"/>
  <c r="D848" i="137"/>
  <c r="D847" i="137"/>
  <c r="D846" i="137"/>
  <c r="D845" i="137"/>
  <c r="D844" i="137"/>
  <c r="D843" i="137"/>
  <c r="D842" i="137"/>
  <c r="D841" i="137"/>
  <c r="D840" i="137"/>
  <c r="D839" i="137"/>
  <c r="D838" i="137"/>
  <c r="D837" i="137"/>
  <c r="D836" i="137"/>
  <c r="D835" i="137"/>
  <c r="D834" i="137"/>
  <c r="D833" i="137"/>
  <c r="D832" i="137"/>
  <c r="D831" i="137"/>
  <c r="D830" i="137"/>
  <c r="D829" i="137"/>
  <c r="D828" i="137"/>
  <c r="D827" i="137"/>
  <c r="D826" i="137"/>
  <c r="D825" i="137"/>
  <c r="F817" i="137"/>
  <c r="D816" i="137"/>
  <c r="D815" i="137"/>
  <c r="D810" i="137"/>
  <c r="D808" i="137"/>
  <c r="E806" i="137"/>
  <c r="F806" i="137" s="1"/>
  <c r="C805" i="137"/>
  <c r="C804" i="137"/>
  <c r="C803" i="137"/>
  <c r="C802" i="137"/>
  <c r="C801" i="137"/>
  <c r="C800" i="137"/>
  <c r="C799" i="137"/>
  <c r="C798" i="137"/>
  <c r="C797" i="137"/>
  <c r="C796" i="137"/>
  <c r="C795" i="137"/>
  <c r="C794" i="137"/>
  <c r="C793" i="137"/>
  <c r="C792" i="137"/>
  <c r="C791" i="137"/>
  <c r="C790" i="137"/>
  <c r="E789" i="137"/>
  <c r="C788" i="137"/>
  <c r="C787" i="137"/>
  <c r="C786" i="137"/>
  <c r="C785" i="137"/>
  <c r="C784" i="137"/>
  <c r="C783" i="137"/>
  <c r="C782" i="137"/>
  <c r="C781" i="137"/>
  <c r="C780" i="137"/>
  <c r="C779" i="137"/>
  <c r="C778" i="137"/>
  <c r="C777" i="137"/>
  <c r="C776" i="137"/>
  <c r="C775" i="137"/>
  <c r="C774" i="137"/>
  <c r="C773" i="137"/>
  <c r="C772" i="137"/>
  <c r="F770" i="137"/>
  <c r="E770" i="137"/>
  <c r="C769" i="137"/>
  <c r="C768" i="137"/>
  <c r="C770" i="137" s="1"/>
  <c r="E766" i="137"/>
  <c r="C765" i="137"/>
  <c r="C764" i="137"/>
  <c r="C763" i="137"/>
  <c r="C762" i="137"/>
  <c r="C761" i="137"/>
  <c r="C760" i="137"/>
  <c r="C759" i="137"/>
  <c r="C758" i="137"/>
  <c r="F754" i="137"/>
  <c r="E754" i="137"/>
  <c r="C753" i="137"/>
  <c r="C752" i="137"/>
  <c r="C751" i="137"/>
  <c r="C750" i="137"/>
  <c r="F748" i="137"/>
  <c r="E748" i="137"/>
  <c r="C747" i="137"/>
  <c r="C746" i="137"/>
  <c r="C745" i="137"/>
  <c r="C744" i="137"/>
  <c r="C743" i="137"/>
  <c r="C742" i="137"/>
  <c r="C741" i="137"/>
  <c r="C740" i="137"/>
  <c r="C739" i="137"/>
  <c r="C738" i="137"/>
  <c r="C737" i="137"/>
  <c r="C736" i="137"/>
  <c r="F733" i="137"/>
  <c r="C732" i="137"/>
  <c r="A732" i="137"/>
  <c r="C731" i="137"/>
  <c r="A731" i="137"/>
  <c r="C730" i="137"/>
  <c r="A730" i="137"/>
  <c r="C729" i="137"/>
  <c r="A729" i="137"/>
  <c r="C728" i="137"/>
  <c r="A728" i="137"/>
  <c r="C727" i="137"/>
  <c r="A727" i="137"/>
  <c r="F722" i="137"/>
  <c r="E722" i="137"/>
  <c r="C721" i="137"/>
  <c r="C720" i="137"/>
  <c r="C719" i="137"/>
  <c r="C718" i="137"/>
  <c r="C717" i="137"/>
  <c r="C716" i="137"/>
  <c r="C715" i="137"/>
  <c r="C714" i="137"/>
  <c r="C713" i="137"/>
  <c r="C712" i="137"/>
  <c r="C711" i="137"/>
  <c r="C710" i="137"/>
  <c r="C709" i="137"/>
  <c r="C708" i="137"/>
  <c r="C707" i="137"/>
  <c r="C706" i="137"/>
  <c r="C705" i="137"/>
  <c r="C704" i="137"/>
  <c r="C703" i="137"/>
  <c r="C702" i="137"/>
  <c r="C701" i="137"/>
  <c r="C700" i="137"/>
  <c r="C699" i="137"/>
  <c r="C698" i="137"/>
  <c r="C697" i="137"/>
  <c r="C693" i="137"/>
  <c r="C692" i="137"/>
  <c r="C691" i="137"/>
  <c r="C690" i="137"/>
  <c r="C689" i="137"/>
  <c r="D687" i="137"/>
  <c r="D686" i="137"/>
  <c r="F685" i="137"/>
  <c r="E685" i="137"/>
  <c r="C684" i="137"/>
  <c r="C683" i="137"/>
  <c r="C681" i="137"/>
  <c r="C679" i="137"/>
  <c r="C678" i="137"/>
  <c r="D673" i="137"/>
  <c r="F671" i="137"/>
  <c r="E671" i="137"/>
  <c r="C670" i="137"/>
  <c r="C669" i="137"/>
  <c r="C668" i="137"/>
  <c r="C667" i="137"/>
  <c r="C666" i="137"/>
  <c r="C665" i="137"/>
  <c r="C664" i="137"/>
  <c r="C663" i="137"/>
  <c r="C662" i="137"/>
  <c r="C661" i="137"/>
  <c r="F659" i="137"/>
  <c r="E659" i="137"/>
  <c r="C658" i="137"/>
  <c r="C657" i="137"/>
  <c r="C656" i="137"/>
  <c r="F650" i="137"/>
  <c r="E650" i="137"/>
  <c r="C649" i="137"/>
  <c r="C648" i="137"/>
  <c r="C647" i="137"/>
  <c r="F643" i="137"/>
  <c r="E643" i="137"/>
  <c r="C642" i="137"/>
  <c r="C641" i="137"/>
  <c r="C640" i="137"/>
  <c r="C639" i="137"/>
  <c r="C638" i="137"/>
  <c r="C637" i="137"/>
  <c r="C636" i="137"/>
  <c r="C635" i="137"/>
  <c r="C634" i="137"/>
  <c r="C633" i="137"/>
  <c r="C632" i="137"/>
  <c r="C631" i="137"/>
  <c r="C630" i="137"/>
  <c r="C629" i="137"/>
  <c r="C628" i="137"/>
  <c r="C627" i="137"/>
  <c r="C626" i="137"/>
  <c r="C625" i="137"/>
  <c r="C624" i="137"/>
  <c r="C623" i="137"/>
  <c r="C622" i="137"/>
  <c r="C621" i="137"/>
  <c r="C620" i="137"/>
  <c r="C619" i="137"/>
  <c r="C618" i="137"/>
  <c r="C617" i="137"/>
  <c r="C616" i="137"/>
  <c r="C615" i="137"/>
  <c r="C614" i="137"/>
  <c r="C613" i="137"/>
  <c r="C612" i="137"/>
  <c r="C611" i="137"/>
  <c r="C610" i="137"/>
  <c r="C609" i="137"/>
  <c r="C608" i="137"/>
  <c r="C607" i="137"/>
  <c r="C606" i="137"/>
  <c r="C605" i="137"/>
  <c r="C604" i="137"/>
  <c r="C602" i="137"/>
  <c r="C601" i="137"/>
  <c r="C600" i="137"/>
  <c r="E599" i="137"/>
  <c r="C599" i="137"/>
  <c r="C598" i="137"/>
  <c r="C597" i="137"/>
  <c r="C596" i="137"/>
  <c r="C595" i="137"/>
  <c r="C594" i="137"/>
  <c r="C593" i="137"/>
  <c r="C592" i="137"/>
  <c r="C591" i="137"/>
  <c r="C590" i="137"/>
  <c r="C589" i="137"/>
  <c r="C588" i="137"/>
  <c r="C587" i="137"/>
  <c r="F581" i="137"/>
  <c r="C580" i="137"/>
  <c r="D581" i="137" s="1"/>
  <c r="F576" i="137"/>
  <c r="E576" i="137"/>
  <c r="C575" i="137"/>
  <c r="C574" i="137"/>
  <c r="C573" i="137"/>
  <c r="C572" i="137"/>
  <c r="C571" i="137"/>
  <c r="C570" i="137"/>
  <c r="C569" i="137"/>
  <c r="C568" i="137"/>
  <c r="C567" i="137"/>
  <c r="C566" i="137"/>
  <c r="C565" i="137"/>
  <c r="C564" i="137"/>
  <c r="C563" i="137"/>
  <c r="C562" i="137"/>
  <c r="C561" i="137"/>
  <c r="C560" i="137"/>
  <c r="C559" i="137"/>
  <c r="D554" i="137"/>
  <c r="F553" i="137"/>
  <c r="E553" i="137"/>
  <c r="C550" i="137"/>
  <c r="C548" i="137"/>
  <c r="C547" i="137"/>
  <c r="C546" i="137"/>
  <c r="C545" i="137"/>
  <c r="C544" i="137"/>
  <c r="C543" i="137"/>
  <c r="C542" i="137"/>
  <c r="C541" i="137"/>
  <c r="C539" i="137"/>
  <c r="C538" i="137"/>
  <c r="E532" i="137"/>
  <c r="F530" i="137"/>
  <c r="C530" i="137"/>
  <c r="B530" i="137"/>
  <c r="C528" i="137"/>
  <c r="B528" i="137"/>
  <c r="C527" i="137"/>
  <c r="B527" i="137"/>
  <c r="C526" i="137"/>
  <c r="B526" i="137"/>
  <c r="C525" i="137"/>
  <c r="B525" i="137"/>
  <c r="C524" i="137"/>
  <c r="B524" i="137"/>
  <c r="C523" i="137"/>
  <c r="B523" i="137"/>
  <c r="C522" i="137"/>
  <c r="C521" i="137"/>
  <c r="C520" i="137"/>
  <c r="C519" i="137"/>
  <c r="C518" i="137"/>
  <c r="C517" i="137"/>
  <c r="F516" i="137"/>
  <c r="C516" i="137"/>
  <c r="C515" i="137"/>
  <c r="C514" i="137"/>
  <c r="C513" i="137"/>
  <c r="C512" i="137"/>
  <c r="C511" i="137"/>
  <c r="C510" i="137"/>
  <c r="C509" i="137"/>
  <c r="E501" i="137"/>
  <c r="F499" i="137"/>
  <c r="F501" i="137" s="1"/>
  <c r="C499" i="137"/>
  <c r="C498" i="137"/>
  <c r="C497" i="137"/>
  <c r="C496" i="137"/>
  <c r="C495" i="137"/>
  <c r="C494" i="137"/>
  <c r="C493" i="137"/>
  <c r="C492" i="137"/>
  <c r="C491" i="137"/>
  <c r="F487" i="137"/>
  <c r="D486" i="137"/>
  <c r="D485" i="137"/>
  <c r="F482" i="137"/>
  <c r="C481" i="137"/>
  <c r="C482" i="137" s="1"/>
  <c r="A481" i="137"/>
  <c r="C475" i="137"/>
  <c r="C474" i="137"/>
  <c r="D473" i="137"/>
  <c r="C471" i="137"/>
  <c r="E470" i="137"/>
  <c r="E472" i="137" s="1"/>
  <c r="C469" i="137"/>
  <c r="C468" i="137"/>
  <c r="C470" i="137" s="1"/>
  <c r="F465" i="137"/>
  <c r="E465" i="137"/>
  <c r="C464" i="137"/>
  <c r="C463" i="137"/>
  <c r="E461" i="137"/>
  <c r="F461" i="137" s="1"/>
  <c r="C460" i="137"/>
  <c r="C459" i="137"/>
  <c r="E458" i="137"/>
  <c r="F458" i="137" s="1"/>
  <c r="C457" i="137"/>
  <c r="C456" i="137"/>
  <c r="C455" i="137"/>
  <c r="C449" i="137"/>
  <c r="E448" i="137"/>
  <c r="E450" i="137" s="1"/>
  <c r="F450" i="137" s="1"/>
  <c r="C447" i="137"/>
  <c r="C446" i="137"/>
  <c r="B446" i="137"/>
  <c r="A446" i="137"/>
  <c r="C445" i="137"/>
  <c r="B445" i="137"/>
  <c r="A445" i="137"/>
  <c r="C444" i="137"/>
  <c r="B444" i="137"/>
  <c r="A444" i="137"/>
  <c r="C443" i="137"/>
  <c r="B443" i="137"/>
  <c r="A443" i="137"/>
  <c r="C442" i="137"/>
  <c r="B442" i="137"/>
  <c r="A442" i="137"/>
  <c r="C441" i="137"/>
  <c r="B441" i="137"/>
  <c r="A441" i="137"/>
  <c r="C440" i="137"/>
  <c r="B440" i="137"/>
  <c r="A440" i="137"/>
  <c r="C439" i="137"/>
  <c r="B439" i="137"/>
  <c r="A439" i="137"/>
  <c r="C438" i="137"/>
  <c r="C437" i="137"/>
  <c r="C436" i="137"/>
  <c r="C435" i="137"/>
  <c r="C434" i="137"/>
  <c r="C433" i="137"/>
  <c r="C432" i="137"/>
  <c r="C431" i="137"/>
  <c r="C430" i="137"/>
  <c r="C429" i="137"/>
  <c r="C428" i="137"/>
  <c r="C427" i="137"/>
  <c r="C426" i="137"/>
  <c r="C425" i="137"/>
  <c r="C424" i="137"/>
  <c r="C423" i="137"/>
  <c r="C422" i="137"/>
  <c r="C421" i="137"/>
  <c r="F419" i="137"/>
  <c r="C418" i="137"/>
  <c r="F417" i="137"/>
  <c r="F415" i="137"/>
  <c r="J411" i="137"/>
  <c r="J410" i="137"/>
  <c r="J409" i="137"/>
  <c r="J408" i="137"/>
  <c r="J407" i="137"/>
  <c r="H404" i="137"/>
  <c r="F404" i="137"/>
  <c r="J404" i="137" s="1"/>
  <c r="D404" i="137"/>
  <c r="G403" i="137"/>
  <c r="D403" i="137"/>
  <c r="D402" i="137"/>
  <c r="F401" i="137"/>
  <c r="E401" i="137"/>
  <c r="C400" i="137"/>
  <c r="D400" i="137" s="1"/>
  <c r="C399" i="137"/>
  <c r="L397" i="137"/>
  <c r="L398" i="137" s="1"/>
  <c r="D394" i="137"/>
  <c r="G394" i="137" s="1"/>
  <c r="D389" i="137"/>
  <c r="F388" i="137"/>
  <c r="F390" i="137" s="1"/>
  <c r="F391" i="137" s="1"/>
  <c r="E388" i="137"/>
  <c r="C387" i="137"/>
  <c r="C386" i="137"/>
  <c r="D382" i="137"/>
  <c r="D381" i="137"/>
  <c r="D380" i="137"/>
  <c r="F376" i="137"/>
  <c r="C375" i="137"/>
  <c r="C374" i="137"/>
  <c r="C373" i="137"/>
  <c r="C372" i="137"/>
  <c r="D369" i="137"/>
  <c r="E368" i="137"/>
  <c r="F368" i="137" s="1"/>
  <c r="C366" i="137"/>
  <c r="C365" i="137"/>
  <c r="F362" i="137"/>
  <c r="F377" i="137" s="1"/>
  <c r="C362" i="137"/>
  <c r="C361" i="137"/>
  <c r="D362" i="137" s="1"/>
  <c r="D360" i="137"/>
  <c r="D355" i="137"/>
  <c r="F353" i="137"/>
  <c r="E353" i="137"/>
  <c r="C352" i="137"/>
  <c r="C350" i="137"/>
  <c r="C349" i="137"/>
  <c r="C348" i="137"/>
  <c r="C347" i="137"/>
  <c r="C346" i="137"/>
  <c r="D339" i="137"/>
  <c r="D337" i="137"/>
  <c r="F336" i="137"/>
  <c r="F340" i="137" s="1"/>
  <c r="E336" i="137"/>
  <c r="C335" i="137"/>
  <c r="C334" i="137"/>
  <c r="C333" i="137"/>
  <c r="C332" i="137"/>
  <c r="C331" i="137"/>
  <c r="C330" i="137"/>
  <c r="C329" i="137"/>
  <c r="C328" i="137"/>
  <c r="C327" i="137"/>
  <c r="C326" i="137"/>
  <c r="C325" i="137"/>
  <c r="C324" i="137"/>
  <c r="C323" i="137"/>
  <c r="C322" i="137"/>
  <c r="C321" i="137"/>
  <c r="C320" i="137"/>
  <c r="C319" i="137"/>
  <c r="F314" i="137"/>
  <c r="F316" i="137" s="1"/>
  <c r="C314" i="137"/>
  <c r="C313" i="137"/>
  <c r="C312" i="137"/>
  <c r="D304" i="137"/>
  <c r="D303" i="137"/>
  <c r="F301" i="137"/>
  <c r="D301" i="137"/>
  <c r="C298" i="137"/>
  <c r="C297" i="137"/>
  <c r="E296" i="137"/>
  <c r="C295" i="137"/>
  <c r="C294" i="137"/>
  <c r="C293" i="137"/>
  <c r="C292" i="137"/>
  <c r="D285" i="137"/>
  <c r="D284" i="137"/>
  <c r="F283" i="137"/>
  <c r="F286" i="137" s="1"/>
  <c r="E283" i="137"/>
  <c r="C282" i="137"/>
  <c r="C281" i="137"/>
  <c r="C280" i="137"/>
  <c r="C279" i="137"/>
  <c r="C278" i="137"/>
  <c r="C277" i="137"/>
  <c r="C276" i="137"/>
  <c r="C275" i="137"/>
  <c r="C274" i="137"/>
  <c r="C273" i="137"/>
  <c r="C272" i="137"/>
  <c r="C271" i="137"/>
  <c r="C270" i="137"/>
  <c r="C269" i="137"/>
  <c r="C268" i="137"/>
  <c r="C267" i="137"/>
  <c r="C266" i="137"/>
  <c r="C265" i="137"/>
  <c r="F263" i="137"/>
  <c r="E263" i="137"/>
  <c r="C262" i="137"/>
  <c r="C261" i="137"/>
  <c r="C260" i="137"/>
  <c r="F258" i="137"/>
  <c r="D258" i="137"/>
  <c r="F256" i="137"/>
  <c r="F287" i="137" s="1"/>
  <c r="E256" i="137"/>
  <c r="C255" i="137"/>
  <c r="C254" i="137"/>
  <c r="C253" i="137"/>
  <c r="C252" i="137"/>
  <c r="C251" i="137"/>
  <c r="D249" i="137"/>
  <c r="F248" i="137"/>
  <c r="E248" i="137"/>
  <c r="C247" i="137"/>
  <c r="C246" i="137"/>
  <c r="C245" i="137"/>
  <c r="C244" i="137"/>
  <c r="F242" i="137"/>
  <c r="E242" i="137"/>
  <c r="C241" i="137"/>
  <c r="C240" i="137"/>
  <c r="C239" i="137"/>
  <c r="C238" i="137"/>
  <c r="C237" i="137"/>
  <c r="C236" i="137"/>
  <c r="C235" i="137"/>
  <c r="C234" i="137"/>
  <c r="C233" i="137"/>
  <c r="C232" i="137"/>
  <c r="D229" i="137"/>
  <c r="D225" i="137"/>
  <c r="D224" i="137"/>
  <c r="D223" i="137"/>
  <c r="F221" i="137"/>
  <c r="E221" i="137"/>
  <c r="C219" i="137"/>
  <c r="C218" i="137"/>
  <c r="C217" i="137"/>
  <c r="C216" i="137"/>
  <c r="C215" i="137"/>
  <c r="C214" i="137"/>
  <c r="C213" i="137"/>
  <c r="C212" i="137"/>
  <c r="C211" i="137"/>
  <c r="C210" i="137"/>
  <c r="C209" i="137"/>
  <c r="C208" i="137"/>
  <c r="C207" i="137"/>
  <c r="C206" i="137"/>
  <c r="C205" i="137"/>
  <c r="F202" i="137"/>
  <c r="E202" i="137"/>
  <c r="C201" i="137"/>
  <c r="C200" i="137"/>
  <c r="C199" i="137"/>
  <c r="B199" i="137"/>
  <c r="A199" i="137"/>
  <c r="C198" i="137"/>
  <c r="C197" i="137"/>
  <c r="C196" i="137"/>
  <c r="C195" i="137"/>
  <c r="C194" i="137"/>
  <c r="F185" i="137"/>
  <c r="D179" i="137"/>
  <c r="D181" i="137" s="1"/>
  <c r="F175" i="137"/>
  <c r="F174" i="137"/>
  <c r="F177" i="137" s="1"/>
  <c r="E174" i="137"/>
  <c r="C173" i="137"/>
  <c r="C172" i="137"/>
  <c r="C171" i="137"/>
  <c r="C170" i="137"/>
  <c r="C169" i="137"/>
  <c r="C168" i="137"/>
  <c r="C167" i="137"/>
  <c r="C166" i="137"/>
  <c r="D176" i="137" s="1"/>
  <c r="G161" i="137"/>
  <c r="F161" i="137" s="1"/>
  <c r="F162" i="137" s="1"/>
  <c r="D160" i="137"/>
  <c r="F157" i="137"/>
  <c r="C156" i="137"/>
  <c r="C155" i="137"/>
  <c r="C154" i="137"/>
  <c r="C153" i="137"/>
  <c r="F149" i="137"/>
  <c r="F150" i="137" s="1"/>
  <c r="E149" i="137"/>
  <c r="F143" i="137"/>
  <c r="E143" i="137"/>
  <c r="C140" i="137"/>
  <c r="F136" i="137"/>
  <c r="D135" i="137"/>
  <c r="D134" i="137"/>
  <c r="C141" i="137" s="1"/>
  <c r="D133" i="137"/>
  <c r="D132" i="137"/>
  <c r="D131" i="137"/>
  <c r="D130" i="137"/>
  <c r="D129" i="137"/>
  <c r="F126" i="137"/>
  <c r="D125" i="137"/>
  <c r="D124" i="137"/>
  <c r="D123" i="137"/>
  <c r="D122" i="137"/>
  <c r="C148" i="137" s="1"/>
  <c r="D121" i="137"/>
  <c r="C147" i="137" s="1"/>
  <c r="D120" i="137"/>
  <c r="C146" i="137" s="1"/>
  <c r="D119" i="137"/>
  <c r="D115" i="137"/>
  <c r="D112" i="137"/>
  <c r="C109" i="137"/>
  <c r="C108" i="137"/>
  <c r="C107" i="137"/>
  <c r="C106" i="137"/>
  <c r="C105" i="137"/>
  <c r="G104" i="137"/>
  <c r="E104" i="137" s="1"/>
  <c r="E110" i="137" s="1"/>
  <c r="C104" i="137"/>
  <c r="C103" i="137"/>
  <c r="C102" i="137"/>
  <c r="C101" i="137"/>
  <c r="C100" i="137"/>
  <c r="C99" i="137"/>
  <c r="C98" i="137"/>
  <c r="C97" i="137"/>
  <c r="C96" i="137"/>
  <c r="F90" i="137"/>
  <c r="F91" i="137" s="1"/>
  <c r="E90" i="137"/>
  <c r="C89" i="137"/>
  <c r="C88" i="137"/>
  <c r="C87" i="137"/>
  <c r="C86" i="137"/>
  <c r="C85" i="137"/>
  <c r="C84" i="137"/>
  <c r="C83" i="137"/>
  <c r="C82" i="137"/>
  <c r="C81" i="137"/>
  <c r="C80" i="137"/>
  <c r="C79" i="137"/>
  <c r="C78" i="137"/>
  <c r="C77" i="137"/>
  <c r="C76" i="137"/>
  <c r="F73" i="137"/>
  <c r="E73" i="137"/>
  <c r="C72" i="137"/>
  <c r="C71" i="137"/>
  <c r="C70" i="137"/>
  <c r="C69" i="137"/>
  <c r="C68" i="137"/>
  <c r="C67" i="137"/>
  <c r="C66" i="137"/>
  <c r="C65" i="137"/>
  <c r="C64" i="137"/>
  <c r="C63" i="137"/>
  <c r="C62" i="137"/>
  <c r="C61" i="137"/>
  <c r="C60" i="137"/>
  <c r="C58" i="137"/>
  <c r="E54" i="137"/>
  <c r="F54" i="137" s="1"/>
  <c r="C53" i="137"/>
  <c r="C52" i="137"/>
  <c r="F49" i="137"/>
  <c r="E49" i="137"/>
  <c r="C48" i="137"/>
  <c r="A48" i="137"/>
  <c r="C47" i="137"/>
  <c r="C42" i="137"/>
  <c r="C41" i="137"/>
  <c r="G40" i="137"/>
  <c r="E40" i="137" s="1"/>
  <c r="C40" i="137"/>
  <c r="C39" i="137"/>
  <c r="C38" i="137"/>
  <c r="C37" i="137"/>
  <c r="C36" i="137"/>
  <c r="C35" i="137"/>
  <c r="G34" i="137"/>
  <c r="E34" i="137" s="1"/>
  <c r="C34" i="137"/>
  <c r="G33" i="137"/>
  <c r="E33" i="137" s="1"/>
  <c r="C33" i="137"/>
  <c r="C32" i="137"/>
  <c r="G31" i="137"/>
  <c r="C31" i="137"/>
  <c r="G30" i="137"/>
  <c r="E30" i="137" s="1"/>
  <c r="C30" i="137"/>
  <c r="C29" i="137"/>
  <c r="G28" i="137"/>
  <c r="E28" i="137" s="1"/>
  <c r="C28" i="137"/>
  <c r="C25" i="137"/>
  <c r="C24" i="137"/>
  <c r="C23" i="137"/>
  <c r="C22" i="137"/>
  <c r="C21" i="137"/>
  <c r="C20" i="137"/>
  <c r="C19" i="137"/>
  <c r="C18" i="137"/>
  <c r="C17" i="137"/>
  <c r="G16" i="137"/>
  <c r="E16" i="137" s="1"/>
  <c r="C16" i="137"/>
  <c r="G15" i="137"/>
  <c r="E15" i="137" s="1"/>
  <c r="C15" i="137"/>
  <c r="C14" i="137"/>
  <c r="C13" i="137"/>
  <c r="C12" i="137"/>
  <c r="C11" i="137"/>
  <c r="C10" i="137"/>
  <c r="C9" i="137"/>
  <c r="E3" i="137"/>
  <c r="C3" i="137"/>
  <c r="E501" i="136"/>
  <c r="D501" i="136"/>
  <c r="P492" i="136"/>
  <c r="N492" i="136"/>
  <c r="E478" i="136" s="1"/>
  <c r="B491" i="136"/>
  <c r="E491" i="136" s="1"/>
  <c r="F491" i="136" s="1"/>
  <c r="B490" i="136"/>
  <c r="E490" i="136" s="1"/>
  <c r="F490" i="136" s="1"/>
  <c r="C489" i="136"/>
  <c r="B489" i="136"/>
  <c r="E489" i="136" s="1"/>
  <c r="F489" i="136" s="1"/>
  <c r="P488" i="136"/>
  <c r="B488" i="136"/>
  <c r="E488" i="136" s="1"/>
  <c r="F488" i="136" s="1"/>
  <c r="P487" i="136"/>
  <c r="E487" i="136"/>
  <c r="F487" i="136" s="1"/>
  <c r="B487" i="136"/>
  <c r="P486" i="136"/>
  <c r="E459" i="136"/>
  <c r="E458" i="136"/>
  <c r="D458" i="136"/>
  <c r="D453" i="136"/>
  <c r="D40" i="5" s="1"/>
  <c r="E452" i="136"/>
  <c r="G27" i="108" s="1"/>
  <c r="E448" i="136"/>
  <c r="D448" i="136"/>
  <c r="E447" i="136"/>
  <c r="D447" i="136"/>
  <c r="E446" i="136"/>
  <c r="D446" i="136"/>
  <c r="E445" i="136"/>
  <c r="E25" i="9" s="1"/>
  <c r="D445" i="136"/>
  <c r="E443" i="136"/>
  <c r="D443" i="136"/>
  <c r="E442" i="136"/>
  <c r="E21" i="9" s="1"/>
  <c r="D442" i="136"/>
  <c r="D21" i="9" s="1"/>
  <c r="E441" i="136"/>
  <c r="E19" i="9" s="1"/>
  <c r="D441" i="136"/>
  <c r="E440" i="136"/>
  <c r="E18" i="9" s="1"/>
  <c r="D440" i="136"/>
  <c r="E439" i="136"/>
  <c r="D439" i="136"/>
  <c r="D17" i="9" s="1"/>
  <c r="E438" i="136"/>
  <c r="E24" i="9" s="1"/>
  <c r="D438" i="136"/>
  <c r="D24" i="9" s="1"/>
  <c r="E437" i="136"/>
  <c r="D437" i="136"/>
  <c r="D23" i="9" s="1"/>
  <c r="E436" i="136"/>
  <c r="E22" i="9" s="1"/>
  <c r="D436" i="136"/>
  <c r="D22" i="9" s="1"/>
  <c r="F435" i="136"/>
  <c r="E434" i="136"/>
  <c r="E16" i="9" s="1"/>
  <c r="D434" i="136"/>
  <c r="E433" i="136"/>
  <c r="D433" i="136"/>
  <c r="D15" i="9" s="1"/>
  <c r="E432" i="136"/>
  <c r="E14" i="9" s="1"/>
  <c r="D432" i="136"/>
  <c r="E431" i="136"/>
  <c r="D431" i="136"/>
  <c r="E430" i="136"/>
  <c r="D430" i="136"/>
  <c r="D13" i="9" s="1"/>
  <c r="E429" i="136"/>
  <c r="E12" i="9" s="1"/>
  <c r="D429" i="136"/>
  <c r="D12" i="9" s="1"/>
  <c r="E428" i="136"/>
  <c r="E26" i="9" s="1"/>
  <c r="D428" i="136"/>
  <c r="D26" i="9" s="1"/>
  <c r="E427" i="136"/>
  <c r="E11" i="9" s="1"/>
  <c r="D427" i="136"/>
  <c r="E426" i="136"/>
  <c r="D426" i="136"/>
  <c r="E425" i="136"/>
  <c r="D425" i="136"/>
  <c r="E424" i="136"/>
  <c r="E10" i="93" s="1"/>
  <c r="D424" i="136"/>
  <c r="D10" i="93" s="1"/>
  <c r="E423" i="136"/>
  <c r="D423" i="136"/>
  <c r="E421" i="136"/>
  <c r="E20" i="9" s="1"/>
  <c r="E420" i="136"/>
  <c r="D420" i="136"/>
  <c r="F420" i="136" s="1"/>
  <c r="AE419" i="136"/>
  <c r="D416" i="136"/>
  <c r="D12" i="11" s="1"/>
  <c r="H415" i="136"/>
  <c r="E415" i="136"/>
  <c r="D415" i="136"/>
  <c r="D13" i="11" s="1"/>
  <c r="D414" i="136"/>
  <c r="D11" i="11" s="1"/>
  <c r="E413" i="136"/>
  <c r="D413" i="136"/>
  <c r="E411" i="136"/>
  <c r="D411" i="136"/>
  <c r="AE410" i="136"/>
  <c r="E408" i="136"/>
  <c r="E30" i="7" s="1"/>
  <c r="D408" i="136"/>
  <c r="D30" i="7" s="1"/>
  <c r="AE407" i="136"/>
  <c r="E405" i="136"/>
  <c r="D405" i="136"/>
  <c r="E404" i="136"/>
  <c r="D404" i="136"/>
  <c r="E403" i="136"/>
  <c r="D403" i="136"/>
  <c r="E402" i="136"/>
  <c r="E401" i="136" s="1"/>
  <c r="E9" i="7" s="1"/>
  <c r="D402" i="136"/>
  <c r="D401" i="136" s="1"/>
  <c r="D9" i="7" s="1"/>
  <c r="AE400" i="136"/>
  <c r="E397" i="136"/>
  <c r="E398" i="136" s="1"/>
  <c r="E26" i="134" s="1"/>
  <c r="E28" i="134" s="1"/>
  <c r="G14" i="108" s="1"/>
  <c r="D397" i="136"/>
  <c r="D398" i="136" s="1"/>
  <c r="D26" i="134" s="1"/>
  <c r="D28" i="134" s="1"/>
  <c r="F14" i="108" s="1"/>
  <c r="E393" i="136"/>
  <c r="D393" i="136"/>
  <c r="E392" i="136"/>
  <c r="E13" i="134" s="1"/>
  <c r="D392" i="136"/>
  <c r="D13" i="134" s="1"/>
  <c r="E391" i="136"/>
  <c r="E12" i="134" s="1"/>
  <c r="D391" i="136"/>
  <c r="E389" i="136"/>
  <c r="E10" i="134" s="1"/>
  <c r="D389" i="136"/>
  <c r="D10" i="134" s="1"/>
  <c r="E388" i="136"/>
  <c r="D388" i="136"/>
  <c r="D9" i="134" s="1"/>
  <c r="F383" i="136"/>
  <c r="E381" i="136"/>
  <c r="E36" i="1" s="1"/>
  <c r="D381" i="136"/>
  <c r="D36" i="1" s="1"/>
  <c r="E380" i="136"/>
  <c r="E35" i="1" s="1"/>
  <c r="E379" i="136"/>
  <c r="E34" i="1" s="1"/>
  <c r="D379" i="136"/>
  <c r="D34" i="1" s="1"/>
  <c r="E378" i="136"/>
  <c r="E33" i="1" s="1"/>
  <c r="D378" i="136"/>
  <c r="D33" i="1" s="1"/>
  <c r="E377" i="136"/>
  <c r="E32" i="1" s="1"/>
  <c r="D377" i="136"/>
  <c r="D32" i="1" s="1"/>
  <c r="E376" i="136"/>
  <c r="D376" i="136"/>
  <c r="D14" i="1" s="1"/>
  <c r="E375" i="136"/>
  <c r="D375" i="136"/>
  <c r="D31" i="1" s="1"/>
  <c r="E369" i="136"/>
  <c r="E374" i="136" s="1"/>
  <c r="E28" i="1" s="1"/>
  <c r="D369" i="136"/>
  <c r="D374" i="136" s="1"/>
  <c r="D28" i="1" s="1"/>
  <c r="AE367" i="136"/>
  <c r="E364" i="136"/>
  <c r="E16" i="1" s="1"/>
  <c r="D364" i="136"/>
  <c r="D16" i="1" s="1"/>
  <c r="E363" i="136"/>
  <c r="E15" i="1" s="1"/>
  <c r="D363" i="136"/>
  <c r="D15" i="1" s="1"/>
  <c r="E362" i="136"/>
  <c r="E13" i="1" s="1"/>
  <c r="D362" i="136"/>
  <c r="D13" i="1" s="1"/>
  <c r="AE360" i="136"/>
  <c r="E358" i="136"/>
  <c r="D358" i="136"/>
  <c r="AE356" i="136"/>
  <c r="E355" i="136"/>
  <c r="D355" i="136"/>
  <c r="F352" i="136"/>
  <c r="F56" i="136" s="1"/>
  <c r="E351" i="136"/>
  <c r="E11" i="118" s="1"/>
  <c r="D351" i="136"/>
  <c r="D11" i="118" s="1"/>
  <c r="E350" i="136"/>
  <c r="D350" i="136"/>
  <c r="D10" i="118" s="1"/>
  <c r="AE349" i="136"/>
  <c r="F347" i="136"/>
  <c r="E345" i="136"/>
  <c r="E37" i="29" s="1"/>
  <c r="D345" i="136"/>
  <c r="D37" i="29" s="1"/>
  <c r="E344" i="136"/>
  <c r="E36" i="29" s="1"/>
  <c r="D344" i="136"/>
  <c r="D36" i="29" s="1"/>
  <c r="E343" i="136"/>
  <c r="E35" i="29" s="1"/>
  <c r="D343" i="136"/>
  <c r="D35" i="29" s="1"/>
  <c r="E342" i="136"/>
  <c r="E34" i="29" s="1"/>
  <c r="D342" i="136"/>
  <c r="D34" i="29" s="1"/>
  <c r="E341" i="136"/>
  <c r="E33" i="29" s="1"/>
  <c r="D341" i="136"/>
  <c r="D33" i="29" s="1"/>
  <c r="E338" i="136"/>
  <c r="E32" i="29" s="1"/>
  <c r="D338" i="136"/>
  <c r="D32" i="29" s="1"/>
  <c r="AE337" i="136"/>
  <c r="F335" i="136"/>
  <c r="E334" i="136"/>
  <c r="E17" i="29" s="1"/>
  <c r="D334" i="136"/>
  <c r="D17" i="29" s="1"/>
  <c r="E333" i="136"/>
  <c r="D333" i="136"/>
  <c r="D31" i="29" s="1"/>
  <c r="E332" i="136"/>
  <c r="E23" i="29" s="1"/>
  <c r="D332" i="136"/>
  <c r="D23" i="29" s="1"/>
  <c r="E331" i="136"/>
  <c r="D331" i="136"/>
  <c r="D30" i="29" s="1"/>
  <c r="E330" i="136"/>
  <c r="E21" i="29" s="1"/>
  <c r="D330" i="136"/>
  <c r="D21" i="29" s="1"/>
  <c r="E329" i="136"/>
  <c r="E15" i="29" s="1"/>
  <c r="D329" i="136"/>
  <c r="D15" i="29" s="1"/>
  <c r="E327" i="136"/>
  <c r="E19" i="29" s="1"/>
  <c r="D327" i="136"/>
  <c r="D19" i="29" s="1"/>
  <c r="E326" i="136"/>
  <c r="D326" i="136"/>
  <c r="D29" i="29" s="1"/>
  <c r="E325" i="136"/>
  <c r="D325" i="136"/>
  <c r="D22" i="29" s="1"/>
  <c r="AE324" i="136"/>
  <c r="F322" i="136"/>
  <c r="E321" i="136"/>
  <c r="E53" i="136" s="1"/>
  <c r="N53" i="136" s="1"/>
  <c r="D321" i="136"/>
  <c r="D53" i="136" s="1"/>
  <c r="E320" i="136"/>
  <c r="D320" i="136"/>
  <c r="D52" i="136" s="1"/>
  <c r="AE319" i="136"/>
  <c r="F317" i="136"/>
  <c r="F51" i="136" s="1"/>
  <c r="E316" i="136"/>
  <c r="E317" i="136" s="1"/>
  <c r="E51" i="136" s="1"/>
  <c r="D316" i="136"/>
  <c r="D317" i="136" s="1"/>
  <c r="D51" i="136" s="1"/>
  <c r="D42" i="29" s="1"/>
  <c r="F29" i="107" s="1"/>
  <c r="AE315" i="136"/>
  <c r="K311" i="136"/>
  <c r="L311" i="136" s="1"/>
  <c r="E310" i="136"/>
  <c r="D310" i="136"/>
  <c r="E309" i="136"/>
  <c r="E303" i="136" s="1"/>
  <c r="D309" i="136"/>
  <c r="D303" i="136" s="1"/>
  <c r="L308" i="136"/>
  <c r="K309" i="136" s="1"/>
  <c r="L309" i="136" s="1"/>
  <c r="K310" i="136" s="1"/>
  <c r="L310" i="136" s="1"/>
  <c r="E305" i="136"/>
  <c r="G30" i="85" s="1"/>
  <c r="G31" i="85" s="1"/>
  <c r="G28" i="107" s="1"/>
  <c r="D305" i="136"/>
  <c r="F30" i="85" s="1"/>
  <c r="F31" i="85" s="1"/>
  <c r="F28" i="107" s="1"/>
  <c r="F303" i="136"/>
  <c r="F311" i="136" s="1"/>
  <c r="F50" i="136" s="1"/>
  <c r="AE299" i="136"/>
  <c r="F297" i="136"/>
  <c r="E296" i="136"/>
  <c r="E13" i="92" s="1"/>
  <c r="D296" i="136"/>
  <c r="D13" i="92" s="1"/>
  <c r="D295" i="136"/>
  <c r="E294" i="136"/>
  <c r="E14" i="92" s="1"/>
  <c r="D294" i="136"/>
  <c r="D14" i="92" s="1"/>
  <c r="AE293" i="136"/>
  <c r="F291" i="136"/>
  <c r="E290" i="136"/>
  <c r="E24" i="92" s="1"/>
  <c r="D290" i="136"/>
  <c r="D24" i="92" s="1"/>
  <c r="E289" i="136"/>
  <c r="D289" i="136"/>
  <c r="AE288" i="136"/>
  <c r="F286" i="136"/>
  <c r="F43" i="136" s="1"/>
  <c r="E285" i="136"/>
  <c r="E286" i="136" s="1"/>
  <c r="D285" i="136"/>
  <c r="D286" i="136" s="1"/>
  <c r="F280" i="136"/>
  <c r="E279" i="136"/>
  <c r="D279" i="136"/>
  <c r="B279" i="136"/>
  <c r="E278" i="136"/>
  <c r="D278" i="136"/>
  <c r="E277" i="136"/>
  <c r="D277" i="136"/>
  <c r="E276" i="136"/>
  <c r="D276" i="136"/>
  <c r="E275" i="136"/>
  <c r="D275" i="136"/>
  <c r="E274" i="136"/>
  <c r="E272" i="136"/>
  <c r="D272" i="136"/>
  <c r="E271" i="136"/>
  <c r="E270" i="136"/>
  <c r="AE266" i="136"/>
  <c r="F264" i="136"/>
  <c r="D260" i="136"/>
  <c r="F258" i="136"/>
  <c r="E254" i="136"/>
  <c r="D254" i="136"/>
  <c r="D26" i="62" s="1"/>
  <c r="AE252" i="136"/>
  <c r="F250" i="136"/>
  <c r="E249" i="136"/>
  <c r="D249" i="136"/>
  <c r="E248" i="136"/>
  <c r="E22" i="119" s="1"/>
  <c r="D248" i="136"/>
  <c r="D22" i="119" s="1"/>
  <c r="E247" i="136"/>
  <c r="E21" i="119" s="1"/>
  <c r="D247" i="136"/>
  <c r="D21" i="119" s="1"/>
  <c r="E246" i="136"/>
  <c r="D246" i="136"/>
  <c r="D12" i="119" s="1"/>
  <c r="E245" i="136"/>
  <c r="E20" i="119" s="1"/>
  <c r="D245" i="136"/>
  <c r="D20" i="119" s="1"/>
  <c r="AE244" i="136"/>
  <c r="F242" i="136"/>
  <c r="E241" i="136"/>
  <c r="D241" i="136"/>
  <c r="D16" i="119" s="1"/>
  <c r="E240" i="136"/>
  <c r="E15" i="119" s="1"/>
  <c r="D240" i="136"/>
  <c r="D15" i="119" s="1"/>
  <c r="E239" i="136"/>
  <c r="D239" i="136"/>
  <c r="D14" i="119" s="1"/>
  <c r="E238" i="136"/>
  <c r="D238" i="136"/>
  <c r="D13" i="119" s="1"/>
  <c r="E237" i="136"/>
  <c r="E11" i="119" s="1"/>
  <c r="D237" i="136"/>
  <c r="D11" i="119" s="1"/>
  <c r="E236" i="136"/>
  <c r="D236" i="136"/>
  <c r="D10" i="119" s="1"/>
  <c r="AE234" i="136"/>
  <c r="F232" i="136"/>
  <c r="D231" i="136"/>
  <c r="E230" i="136"/>
  <c r="D230" i="136"/>
  <c r="E229" i="136"/>
  <c r="D229" i="136"/>
  <c r="D20" i="87" s="1"/>
  <c r="D24" i="87" s="1"/>
  <c r="AE227" i="136"/>
  <c r="F225" i="136"/>
  <c r="E224" i="136"/>
  <c r="E31" i="89" s="1"/>
  <c r="D224" i="136"/>
  <c r="D31" i="89" s="1"/>
  <c r="E223" i="136"/>
  <c r="D223" i="136"/>
  <c r="E222" i="136"/>
  <c r="E30" i="89" s="1"/>
  <c r="D222" i="136"/>
  <c r="D30" i="89" s="1"/>
  <c r="D33" i="89" s="1"/>
  <c r="F53" i="107" s="1"/>
  <c r="AE220" i="136"/>
  <c r="F217" i="136"/>
  <c r="E216" i="136"/>
  <c r="D216" i="136"/>
  <c r="E215" i="136"/>
  <c r="D215" i="136"/>
  <c r="E213" i="136"/>
  <c r="D213" i="136"/>
  <c r="AE212" i="136"/>
  <c r="F210" i="136"/>
  <c r="F19" i="136" s="1"/>
  <c r="E209" i="136"/>
  <c r="E19" i="26" s="1"/>
  <c r="D209" i="136"/>
  <c r="D19" i="26" s="1"/>
  <c r="E208" i="136"/>
  <c r="E18" i="26" s="1"/>
  <c r="D208" i="136"/>
  <c r="D18" i="26" s="1"/>
  <c r="D207" i="136"/>
  <c r="E206" i="136"/>
  <c r="E14" i="26" s="1"/>
  <c r="D206" i="136"/>
  <c r="D14" i="26" s="1"/>
  <c r="E205" i="136"/>
  <c r="E13" i="26" s="1"/>
  <c r="D205" i="136"/>
  <c r="D13" i="26" s="1"/>
  <c r="E204" i="136"/>
  <c r="E12" i="26" s="1"/>
  <c r="D204" i="136"/>
  <c r="D12" i="26" s="1"/>
  <c r="E203" i="136"/>
  <c r="E11" i="26" s="1"/>
  <c r="D203" i="136"/>
  <c r="D11" i="26" s="1"/>
  <c r="E202" i="136"/>
  <c r="E10" i="26" s="1"/>
  <c r="AE201" i="136"/>
  <c r="E197" i="136"/>
  <c r="E28" i="23" s="1"/>
  <c r="D197" i="136"/>
  <c r="D28" i="23" s="1"/>
  <c r="E196" i="136"/>
  <c r="E12" i="23" s="1"/>
  <c r="D196" i="136"/>
  <c r="D12" i="23" s="1"/>
  <c r="E195" i="136"/>
  <c r="E26" i="23" s="1"/>
  <c r="D195" i="136"/>
  <c r="D26" i="23" s="1"/>
  <c r="E194" i="136"/>
  <c r="E27" i="23" s="1"/>
  <c r="D194" i="136"/>
  <c r="D27" i="23" s="1"/>
  <c r="F192" i="136"/>
  <c r="E191" i="136"/>
  <c r="D191" i="136"/>
  <c r="E190" i="136"/>
  <c r="E30" i="23" s="1"/>
  <c r="D190" i="136"/>
  <c r="D30" i="23" s="1"/>
  <c r="F188" i="136"/>
  <c r="F187" i="136"/>
  <c r="E187" i="136"/>
  <c r="D187" i="136"/>
  <c r="E186" i="136"/>
  <c r="E31" i="23" s="1"/>
  <c r="D186" i="136"/>
  <c r="D31" i="23" s="1"/>
  <c r="F183" i="136"/>
  <c r="F184" i="136" s="1"/>
  <c r="F199" i="136" s="1"/>
  <c r="F16" i="136" s="1"/>
  <c r="E183" i="136"/>
  <c r="D183" i="136"/>
  <c r="E182" i="136"/>
  <c r="D182" i="136"/>
  <c r="D29" i="23" s="1"/>
  <c r="A181" i="136"/>
  <c r="AE181" i="136" s="1"/>
  <c r="F179" i="136"/>
  <c r="E177" i="136"/>
  <c r="E179" i="136" s="1"/>
  <c r="D177" i="136"/>
  <c r="D179" i="136" s="1"/>
  <c r="F174" i="136"/>
  <c r="E173" i="136"/>
  <c r="D173" i="136"/>
  <c r="D13" i="136" s="1"/>
  <c r="F170" i="136"/>
  <c r="E168" i="136"/>
  <c r="D168" i="136"/>
  <c r="F166" i="136"/>
  <c r="J165" i="136"/>
  <c r="E165" i="136"/>
  <c r="D165" i="136"/>
  <c r="E164" i="136"/>
  <c r="D164" i="136"/>
  <c r="E163" i="136"/>
  <c r="D163" i="136"/>
  <c r="F161" i="136"/>
  <c r="E160" i="136"/>
  <c r="D160" i="136"/>
  <c r="E159" i="136"/>
  <c r="D159" i="136"/>
  <c r="E158" i="136"/>
  <c r="D158" i="136"/>
  <c r="N156" i="136"/>
  <c r="N155" i="136"/>
  <c r="F155" i="136"/>
  <c r="N154" i="136"/>
  <c r="N157" i="136" s="1"/>
  <c r="J154" i="136"/>
  <c r="E154" i="136"/>
  <c r="D154" i="136"/>
  <c r="E153" i="136"/>
  <c r="D153" i="136"/>
  <c r="E152" i="136"/>
  <c r="D152" i="136"/>
  <c r="F149" i="136"/>
  <c r="E148" i="136"/>
  <c r="D148" i="136"/>
  <c r="E147" i="136"/>
  <c r="D147" i="136"/>
  <c r="AE143" i="136"/>
  <c r="BM142" i="136"/>
  <c r="BO142" i="136" s="1"/>
  <c r="BL142" i="136"/>
  <c r="BN142" i="136" s="1"/>
  <c r="F142" i="136"/>
  <c r="E142" i="136"/>
  <c r="D142" i="136"/>
  <c r="B139" i="136"/>
  <c r="E138" i="136"/>
  <c r="B138" i="136"/>
  <c r="E137" i="136"/>
  <c r="C137" i="136"/>
  <c r="B137" i="136"/>
  <c r="E136" i="136"/>
  <c r="C136" i="136"/>
  <c r="B134" i="136"/>
  <c r="E132" i="136"/>
  <c r="C132" i="136"/>
  <c r="B132" i="136"/>
  <c r="E131" i="136"/>
  <c r="C131" i="136"/>
  <c r="E130" i="136"/>
  <c r="C130" i="136"/>
  <c r="B130" i="136"/>
  <c r="B129" i="136"/>
  <c r="B127" i="136"/>
  <c r="B126" i="136"/>
  <c r="B125" i="136"/>
  <c r="E120" i="136"/>
  <c r="D120" i="136"/>
  <c r="F109" i="136"/>
  <c r="C107" i="136"/>
  <c r="C106" i="136"/>
  <c r="C101" i="136"/>
  <c r="D99" i="136"/>
  <c r="O98" i="136"/>
  <c r="C96" i="136"/>
  <c r="H92" i="136"/>
  <c r="H97" i="136" s="1"/>
  <c r="C91" i="136"/>
  <c r="E90" i="136"/>
  <c r="G90" i="136" s="1"/>
  <c r="I90" i="136" s="1"/>
  <c r="D90" i="136"/>
  <c r="C89" i="136"/>
  <c r="C88" i="136"/>
  <c r="D87" i="136"/>
  <c r="C86" i="136"/>
  <c r="C83" i="136"/>
  <c r="C82" i="136"/>
  <c r="M80" i="136"/>
  <c r="L79" i="136"/>
  <c r="B76" i="136"/>
  <c r="J59" i="136"/>
  <c r="C56" i="136"/>
  <c r="F55" i="136"/>
  <c r="C55" i="136"/>
  <c r="F54" i="136"/>
  <c r="C54" i="136"/>
  <c r="F53" i="136"/>
  <c r="C53" i="136"/>
  <c r="F52" i="136"/>
  <c r="C51" i="136"/>
  <c r="C50" i="136"/>
  <c r="P49" i="136"/>
  <c r="N49" i="136"/>
  <c r="P48" i="136"/>
  <c r="N48" i="136"/>
  <c r="F46" i="136"/>
  <c r="C46" i="136"/>
  <c r="E45" i="136"/>
  <c r="D45" i="136"/>
  <c r="F44" i="136"/>
  <c r="C44" i="136"/>
  <c r="C43" i="136"/>
  <c r="F42" i="136"/>
  <c r="C42" i="136"/>
  <c r="P41" i="136"/>
  <c r="N41" i="136"/>
  <c r="P40" i="136"/>
  <c r="N40" i="136"/>
  <c r="P39" i="136"/>
  <c r="N39" i="136"/>
  <c r="F38" i="136"/>
  <c r="C35" i="136"/>
  <c r="E34" i="136"/>
  <c r="N34" i="136" s="1"/>
  <c r="D34" i="136"/>
  <c r="P33" i="136"/>
  <c r="N33" i="136"/>
  <c r="P32" i="136"/>
  <c r="N32" i="136"/>
  <c r="P31" i="136"/>
  <c r="N31" i="136"/>
  <c r="F29" i="136"/>
  <c r="E28" i="136"/>
  <c r="D28" i="136"/>
  <c r="D32" i="119" s="1"/>
  <c r="F57" i="107" s="1"/>
  <c r="M27" i="136"/>
  <c r="F25" i="136"/>
  <c r="F26" i="136" s="1"/>
  <c r="C25" i="136"/>
  <c r="F24" i="136"/>
  <c r="C24" i="136"/>
  <c r="F23" i="136"/>
  <c r="C23" i="136"/>
  <c r="F22" i="136"/>
  <c r="C22" i="136"/>
  <c r="F21" i="136"/>
  <c r="C21" i="136"/>
  <c r="P20" i="136"/>
  <c r="N20" i="136"/>
  <c r="M20" i="136"/>
  <c r="I20" i="136"/>
  <c r="C19" i="136"/>
  <c r="P18" i="136"/>
  <c r="N18" i="136"/>
  <c r="M18" i="136"/>
  <c r="C16" i="136"/>
  <c r="N15" i="136"/>
  <c r="I15" i="136"/>
  <c r="D15" i="136"/>
  <c r="M15" i="136" s="1"/>
  <c r="F14" i="136"/>
  <c r="F13" i="136"/>
  <c r="F12" i="136"/>
  <c r="C12" i="136"/>
  <c r="P11" i="136"/>
  <c r="N11" i="136"/>
  <c r="M11" i="136"/>
  <c r="I11" i="136"/>
  <c r="E10" i="136"/>
  <c r="N10" i="136" s="1"/>
  <c r="D10" i="136"/>
  <c r="E9" i="136"/>
  <c r="N9" i="136" s="1"/>
  <c r="D9" i="136"/>
  <c r="E8" i="136"/>
  <c r="N8" i="136" s="1"/>
  <c r="D8" i="136"/>
  <c r="E7" i="136"/>
  <c r="N7" i="136" s="1"/>
  <c r="D7" i="136"/>
  <c r="F6" i="136"/>
  <c r="E6" i="136"/>
  <c r="I6" i="136" s="1"/>
  <c r="D6" i="136"/>
  <c r="G10" i="108" l="1"/>
  <c r="E19" i="93"/>
  <c r="G19" i="108" s="1"/>
  <c r="D817" i="137"/>
  <c r="D28" i="11"/>
  <c r="D38" i="11" s="1"/>
  <c r="D40" i="11" s="1"/>
  <c r="C40" i="110"/>
  <c r="E40" i="110"/>
  <c r="E32" i="9"/>
  <c r="G20" i="108" s="1"/>
  <c r="F10" i="108"/>
  <c r="P6" i="136"/>
  <c r="C461" i="137"/>
  <c r="D461" i="137" s="1"/>
  <c r="D477" i="137"/>
  <c r="D35" i="62"/>
  <c r="F17" i="107" s="1"/>
  <c r="I10" i="140"/>
  <c r="I13" i="140" s="1"/>
  <c r="R20" i="143"/>
  <c r="T30" i="143" s="1"/>
  <c r="R56" i="143"/>
  <c r="D25" i="9"/>
  <c r="D29" i="11"/>
  <c r="E8" i="141"/>
  <c r="E11" i="141" s="1"/>
  <c r="D40" i="141"/>
  <c r="D43" i="11"/>
  <c r="E46" i="110"/>
  <c r="E243" i="138"/>
  <c r="D13" i="118"/>
  <c r="F32" i="107" s="1"/>
  <c r="C33" i="139"/>
  <c r="E29" i="7"/>
  <c r="M7" i="136"/>
  <c r="M34" i="136"/>
  <c r="E26" i="29"/>
  <c r="V58" i="143"/>
  <c r="C9" i="110"/>
  <c r="C16" i="110"/>
  <c r="C66" i="110"/>
  <c r="D460" i="136"/>
  <c r="D96" i="136" s="1"/>
  <c r="D29" i="5"/>
  <c r="D31" i="5" s="1"/>
  <c r="F23" i="108" s="1"/>
  <c r="G10" i="140"/>
  <c r="D11" i="124" s="1"/>
  <c r="K26" i="140"/>
  <c r="E16" i="110"/>
  <c r="E66" i="110"/>
  <c r="F431" i="136"/>
  <c r="E460" i="136"/>
  <c r="E96" i="136" s="1"/>
  <c r="E31" i="5"/>
  <c r="E14" i="136"/>
  <c r="N14" i="136" s="1"/>
  <c r="G46" i="107"/>
  <c r="R18" i="143"/>
  <c r="P10" i="136"/>
  <c r="E87" i="136"/>
  <c r="D357" i="136"/>
  <c r="D11" i="1"/>
  <c r="E99" i="143"/>
  <c r="E357" i="136"/>
  <c r="E11" i="1"/>
  <c r="F426" i="136"/>
  <c r="D9" i="9"/>
  <c r="D37" i="23"/>
  <c r="D44" i="23" s="1"/>
  <c r="F47" i="107" s="1"/>
  <c r="D106" i="136"/>
  <c r="D107" i="136" s="1"/>
  <c r="D108" i="136" s="1"/>
  <c r="D115" i="136" s="1"/>
  <c r="D117" i="136" s="1"/>
  <c r="C465" i="137"/>
  <c r="D465" i="137" s="1"/>
  <c r="J26" i="140"/>
  <c r="C44" i="141"/>
  <c r="R25" i="143"/>
  <c r="J393" i="136"/>
  <c r="D14" i="134"/>
  <c r="F405" i="136"/>
  <c r="D23" i="7"/>
  <c r="F440" i="136"/>
  <c r="D18" i="9"/>
  <c r="D13" i="141"/>
  <c r="D16" i="141" s="1"/>
  <c r="R29" i="143"/>
  <c r="D14" i="136"/>
  <c r="D21" i="23"/>
  <c r="F46" i="107" s="1"/>
  <c r="F425" i="136"/>
  <c r="D10" i="9"/>
  <c r="E27" i="26"/>
  <c r="G51" i="107" s="1"/>
  <c r="E16" i="134"/>
  <c r="G13" i="108" s="1"/>
  <c r="F427" i="136"/>
  <c r="D11" i="9"/>
  <c r="F434" i="136"/>
  <c r="D16" i="9"/>
  <c r="E38" i="11"/>
  <c r="E40" i="11" s="1"/>
  <c r="G17" i="108" s="1"/>
  <c r="E106" i="136"/>
  <c r="O100" i="136" s="1"/>
  <c r="J391" i="136"/>
  <c r="D12" i="134"/>
  <c r="F441" i="136"/>
  <c r="D19" i="9"/>
  <c r="M512" i="136"/>
  <c r="E31" i="1"/>
  <c r="F432" i="136"/>
  <c r="D14" i="9"/>
  <c r="E26" i="119"/>
  <c r="G56" i="107" s="1"/>
  <c r="F21" i="107"/>
  <c r="D29" i="7"/>
  <c r="F423" i="136"/>
  <c r="D9" i="93"/>
  <c r="D19" i="93" s="1"/>
  <c r="F19" i="108" s="1"/>
  <c r="R17" i="143"/>
  <c r="R30" i="143"/>
  <c r="R35" i="143"/>
  <c r="R44" i="143"/>
  <c r="M9" i="136"/>
  <c r="E29" i="136"/>
  <c r="E32" i="119"/>
  <c r="G57" i="107" s="1"/>
  <c r="F404" i="136"/>
  <c r="R38" i="143"/>
  <c r="R45" i="143"/>
  <c r="R53" i="143"/>
  <c r="E232" i="136"/>
  <c r="E20" i="87"/>
  <c r="E24" i="87" s="1"/>
  <c r="F10" i="140"/>
  <c r="F13" i="140" s="1"/>
  <c r="E184" i="136"/>
  <c r="E29" i="23"/>
  <c r="D202" i="136"/>
  <c r="D10" i="26" s="1"/>
  <c r="D27" i="26" s="1"/>
  <c r="F51" i="107" s="1"/>
  <c r="J90" i="136"/>
  <c r="E37" i="23"/>
  <c r="E33" i="89"/>
  <c r="G53" i="107" s="1"/>
  <c r="E214" i="138"/>
  <c r="D18" i="119"/>
  <c r="F55" i="107" s="1"/>
  <c r="E18" i="119"/>
  <c r="G55" i="107" s="1"/>
  <c r="D26" i="140"/>
  <c r="R23" i="143"/>
  <c r="T28" i="143" s="1"/>
  <c r="D26" i="119"/>
  <c r="C263" i="137"/>
  <c r="E62" i="138"/>
  <c r="E257" i="138"/>
  <c r="F429" i="136"/>
  <c r="J15" i="142"/>
  <c r="B15" i="142" s="1"/>
  <c r="F442" i="136"/>
  <c r="D452" i="136"/>
  <c r="D101" i="136" s="1"/>
  <c r="D314" i="137"/>
  <c r="K46" i="136"/>
  <c r="D29" i="92"/>
  <c r="F23" i="107" s="1"/>
  <c r="N45" i="136"/>
  <c r="G23" i="107"/>
  <c r="P15" i="136"/>
  <c r="D38" i="29"/>
  <c r="J305" i="136"/>
  <c r="D26" i="29"/>
  <c r="F26" i="140"/>
  <c r="N19" i="140"/>
  <c r="D155" i="136"/>
  <c r="G20" i="107"/>
  <c r="C26" i="140"/>
  <c r="O26" i="140"/>
  <c r="G26" i="140"/>
  <c r="R49" i="143"/>
  <c r="G21" i="107"/>
  <c r="E38" i="29"/>
  <c r="E322" i="136"/>
  <c r="E131" i="138"/>
  <c r="H26" i="140"/>
  <c r="E352" i="136"/>
  <c r="E56" i="136" s="1"/>
  <c r="N56" i="136" s="1"/>
  <c r="E10" i="118"/>
  <c r="E13" i="118" s="1"/>
  <c r="G32" i="107" s="1"/>
  <c r="F421" i="136"/>
  <c r="I51" i="136"/>
  <c r="E42" i="29"/>
  <c r="G29" i="107" s="1"/>
  <c r="L19" i="140"/>
  <c r="I216" i="136"/>
  <c r="G274" i="138"/>
  <c r="G326" i="138" s="1"/>
  <c r="M53" i="136"/>
  <c r="J388" i="136"/>
  <c r="F439" i="136"/>
  <c r="D90" i="137"/>
  <c r="C300" i="137"/>
  <c r="E10" i="140"/>
  <c r="E13" i="140" s="1"/>
  <c r="K19" i="140"/>
  <c r="G14" i="124" s="1"/>
  <c r="D40" i="143"/>
  <c r="C39" i="110" s="1"/>
  <c r="C43" i="110" s="1"/>
  <c r="R13" i="143"/>
  <c r="D43" i="136"/>
  <c r="F22" i="107" s="1"/>
  <c r="D16" i="92"/>
  <c r="F24" i="107" s="1"/>
  <c r="D291" i="136"/>
  <c r="D44" i="136" s="1"/>
  <c r="D23" i="92"/>
  <c r="D27" i="92" s="1"/>
  <c r="F25" i="107" s="1"/>
  <c r="I45" i="136"/>
  <c r="E406" i="136"/>
  <c r="E88" i="136" s="1"/>
  <c r="G88" i="136" s="1"/>
  <c r="I88" i="136" s="1"/>
  <c r="D24" i="138"/>
  <c r="E24" i="138" s="1"/>
  <c r="E76" i="143"/>
  <c r="D19" i="140"/>
  <c r="D22" i="140" s="1"/>
  <c r="R11" i="143"/>
  <c r="D311" i="136"/>
  <c r="D50" i="136" s="1"/>
  <c r="P9" i="140"/>
  <c r="D100" i="136"/>
  <c r="C54" i="137"/>
  <c r="D54" i="137" s="1"/>
  <c r="F17" i="136"/>
  <c r="F30" i="136" s="1"/>
  <c r="E166" i="136"/>
  <c r="E43" i="136"/>
  <c r="E16" i="92"/>
  <c r="G24" i="107" s="1"/>
  <c r="E366" i="136"/>
  <c r="E82" i="136" s="1"/>
  <c r="D530" i="137"/>
  <c r="D388" i="137"/>
  <c r="D390" i="137" s="1"/>
  <c r="E168" i="138"/>
  <c r="E236" i="138"/>
  <c r="H10" i="140"/>
  <c r="L26" i="140"/>
  <c r="R52" i="143"/>
  <c r="M45" i="136"/>
  <c r="D126" i="137"/>
  <c r="E52" i="138"/>
  <c r="E188" i="136"/>
  <c r="R12" i="143"/>
  <c r="P34" i="136"/>
  <c r="D463" i="136"/>
  <c r="C501" i="137"/>
  <c r="M26" i="140"/>
  <c r="E291" i="136"/>
  <c r="E44" i="136" s="1"/>
  <c r="N44" i="136" s="1"/>
  <c r="E23" i="92"/>
  <c r="E27" i="92" s="1"/>
  <c r="G25" i="107" s="1"/>
  <c r="R32" i="143"/>
  <c r="D76" i="143"/>
  <c r="O19" i="140"/>
  <c r="D860" i="137"/>
  <c r="D315" i="137" s="1"/>
  <c r="E311" i="136"/>
  <c r="E50" i="136" s="1"/>
  <c r="I50" i="136" s="1"/>
  <c r="R40" i="143"/>
  <c r="D217" i="136"/>
  <c r="D486" i="136"/>
  <c r="F486" i="136" s="1"/>
  <c r="F492" i="136" s="1"/>
  <c r="D492" i="136" s="1"/>
  <c r="D499" i="137"/>
  <c r="D501" i="137" s="1"/>
  <c r="E274" i="138"/>
  <c r="C60" i="141"/>
  <c r="G60" i="141" s="1"/>
  <c r="R27" i="143"/>
  <c r="C19" i="140"/>
  <c r="C22" i="140" s="1"/>
  <c r="F443" i="136"/>
  <c r="R48" i="143"/>
  <c r="H40" i="137"/>
  <c r="E116" i="138"/>
  <c r="D60" i="141"/>
  <c r="H60" i="141" s="1"/>
  <c r="R50" i="143"/>
  <c r="T54" i="143" s="1"/>
  <c r="D336" i="137"/>
  <c r="D340" i="137" s="1"/>
  <c r="E66" i="138"/>
  <c r="E197" i="138"/>
  <c r="G328" i="138"/>
  <c r="H187" i="145"/>
  <c r="D161" i="136"/>
  <c r="D192" i="136"/>
  <c r="E297" i="136"/>
  <c r="E46" i="136" s="1"/>
  <c r="I46" i="136" s="1"/>
  <c r="E347" i="136"/>
  <c r="E55" i="136" s="1"/>
  <c r="E263" i="138"/>
  <c r="F28" i="139"/>
  <c r="H19" i="140"/>
  <c r="G19" i="140"/>
  <c r="C39" i="141"/>
  <c r="E161" i="136"/>
  <c r="D184" i="136"/>
  <c r="E192" i="136"/>
  <c r="D352" i="136"/>
  <c r="D56" i="136" s="1"/>
  <c r="D366" i="136"/>
  <c r="D82" i="136" s="1"/>
  <c r="D412" i="136"/>
  <c r="F424" i="136"/>
  <c r="F430" i="136"/>
  <c r="D376" i="137"/>
  <c r="D733" i="137"/>
  <c r="H1" i="138"/>
  <c r="J1" i="138" s="1"/>
  <c r="E357" i="138"/>
  <c r="I19" i="140"/>
  <c r="I22" i="140" s="1"/>
  <c r="E19" i="140"/>
  <c r="J19" i="140"/>
  <c r="E26" i="140"/>
  <c r="R7" i="143"/>
  <c r="R15" i="143"/>
  <c r="T43" i="143" s="1"/>
  <c r="R19" i="143"/>
  <c r="R54" i="143"/>
  <c r="F19" i="140"/>
  <c r="F22" i="140" s="1"/>
  <c r="F23" i="147"/>
  <c r="F27" i="147" s="1"/>
  <c r="G27" i="147" s="1"/>
  <c r="E52" i="136"/>
  <c r="P52" i="136" s="1"/>
  <c r="D406" i="136"/>
  <c r="D88" i="136" s="1"/>
  <c r="D516" i="137"/>
  <c r="C581" i="137"/>
  <c r="P11" i="140"/>
  <c r="R41" i="143"/>
  <c r="G31" i="144"/>
  <c r="I36" i="144" s="1"/>
  <c r="P9" i="136"/>
  <c r="E155" i="136"/>
  <c r="J216" i="136"/>
  <c r="M51" i="136"/>
  <c r="F26" i="137"/>
  <c r="E41" i="138"/>
  <c r="G1469" i="137"/>
  <c r="D1469" i="137" s="1"/>
  <c r="E160" i="138"/>
  <c r="E227" i="138"/>
  <c r="J10" i="140"/>
  <c r="D13" i="124" s="1"/>
  <c r="E1248" i="137"/>
  <c r="C414" i="137" s="1"/>
  <c r="D415" i="137" s="1"/>
  <c r="K10" i="140"/>
  <c r="C31" i="141"/>
  <c r="I34" i="136"/>
  <c r="I53" i="136"/>
  <c r="D232" i="136"/>
  <c r="C472" i="137"/>
  <c r="D472" i="137" s="1"/>
  <c r="D722" i="137"/>
  <c r="D1248" i="137"/>
  <c r="G138" i="138"/>
  <c r="E249" i="138"/>
  <c r="E347" i="138"/>
  <c r="D33" i="139"/>
  <c r="N26" i="140"/>
  <c r="M10" i="140"/>
  <c r="L10" i="140"/>
  <c r="D15" i="124" s="1"/>
  <c r="P16" i="140"/>
  <c r="J412" i="137"/>
  <c r="F403" i="137" s="1"/>
  <c r="H403" i="137" s="1"/>
  <c r="H406" i="137" s="1"/>
  <c r="D1424" i="137"/>
  <c r="C806" i="137"/>
  <c r="P12" i="140"/>
  <c r="P20" i="140"/>
  <c r="R20" i="140" s="1"/>
  <c r="T20" i="140" s="1"/>
  <c r="V20" i="140" s="1"/>
  <c r="X20" i="140" s="1"/>
  <c r="D335" i="136"/>
  <c r="D54" i="136" s="1"/>
  <c r="D263" i="137"/>
  <c r="C722" i="137"/>
  <c r="D1284" i="137"/>
  <c r="D487" i="137"/>
  <c r="E31" i="138"/>
  <c r="E37" i="138" s="1"/>
  <c r="E85" i="138"/>
  <c r="E141" i="138"/>
  <c r="D11" i="141"/>
  <c r="N6" i="136"/>
  <c r="M28" i="136"/>
  <c r="D188" i="136"/>
  <c r="E225" i="136"/>
  <c r="E22" i="136" s="1"/>
  <c r="I22" i="136" s="1"/>
  <c r="J392" i="136"/>
  <c r="F433" i="136"/>
  <c r="C90" i="137"/>
  <c r="D256" i="137"/>
  <c r="C458" i="137"/>
  <c r="D458" i="137" s="1"/>
  <c r="C766" i="137"/>
  <c r="D770" i="137" s="1"/>
  <c r="P1436" i="137"/>
  <c r="G82" i="138"/>
  <c r="N10" i="140"/>
  <c r="P17" i="140"/>
  <c r="R17" i="140" s="1"/>
  <c r="T17" i="140" s="1"/>
  <c r="R34" i="143"/>
  <c r="R51" i="143"/>
  <c r="E217" i="136"/>
  <c r="E21" i="136" s="1"/>
  <c r="E1424" i="137"/>
  <c r="C416" i="137" s="1"/>
  <c r="D417" i="137" s="1"/>
  <c r="E394" i="136"/>
  <c r="E86" i="136" s="1"/>
  <c r="E519" i="136" s="1"/>
  <c r="D26" i="137"/>
  <c r="E25" i="143"/>
  <c r="E335" i="136"/>
  <c r="E54" i="136" s="1"/>
  <c r="D221" i="137"/>
  <c r="G168" i="138"/>
  <c r="G191" i="138" s="1"/>
  <c r="P45" i="136"/>
  <c r="P53" i="136"/>
  <c r="D225" i="136"/>
  <c r="D22" i="136" s="1"/>
  <c r="D322" i="136"/>
  <c r="F428" i="136"/>
  <c r="D748" i="137"/>
  <c r="E120" i="138"/>
  <c r="E328" i="138"/>
  <c r="D10" i="140"/>
  <c r="D13" i="140" s="1"/>
  <c r="P8" i="140"/>
  <c r="S8" i="140" s="1"/>
  <c r="M19" i="140"/>
  <c r="P21" i="140"/>
  <c r="D25" i="143"/>
  <c r="R43" i="143"/>
  <c r="G189" i="145"/>
  <c r="G193" i="145" s="1"/>
  <c r="H193" i="145" s="1"/>
  <c r="I1" i="145"/>
  <c r="I183" i="145"/>
  <c r="I187" i="145" s="1"/>
  <c r="D34" i="144"/>
  <c r="D55" i="144"/>
  <c r="D13" i="144"/>
  <c r="D56" i="144"/>
  <c r="E22" i="144"/>
  <c r="G13" i="144"/>
  <c r="F34" i="144"/>
  <c r="G17" i="144"/>
  <c r="D56" i="143"/>
  <c r="C49" i="110" s="1"/>
  <c r="D31" i="143"/>
  <c r="T6" i="143"/>
  <c r="T25" i="143" s="1"/>
  <c r="C25" i="142"/>
  <c r="C26" i="142"/>
  <c r="E18" i="142"/>
  <c r="F18" i="142"/>
  <c r="F25" i="142" s="1"/>
  <c r="L23" i="142"/>
  <c r="M23" i="142"/>
  <c r="E16" i="141"/>
  <c r="E19" i="141" s="1"/>
  <c r="P7" i="140"/>
  <c r="I26" i="140"/>
  <c r="O10" i="140"/>
  <c r="D18" i="124" s="1"/>
  <c r="P18" i="140"/>
  <c r="C10" i="140"/>
  <c r="C8" i="139"/>
  <c r="J25" i="139"/>
  <c r="J29" i="139"/>
  <c r="C10" i="139"/>
  <c r="B25" i="139"/>
  <c r="J198" i="138"/>
  <c r="K198" i="138" s="1"/>
  <c r="L1469" i="137"/>
  <c r="C26" i="137"/>
  <c r="E300" i="137"/>
  <c r="F300" i="137"/>
  <c r="F305" i="137" s="1"/>
  <c r="D353" i="137"/>
  <c r="C353" i="137"/>
  <c r="E26" i="137"/>
  <c r="C401" i="137"/>
  <c r="D399" i="137"/>
  <c r="D401" i="137"/>
  <c r="D175" i="137"/>
  <c r="K1434" i="137"/>
  <c r="C165" i="137" s="1"/>
  <c r="F532" i="137"/>
  <c r="F577" i="137" s="1"/>
  <c r="D183" i="137"/>
  <c r="C754" i="137"/>
  <c r="D754" i="137"/>
  <c r="C139" i="137"/>
  <c r="D300" i="137"/>
  <c r="D305" i="137" s="1"/>
  <c r="D49" i="137"/>
  <c r="C49" i="137"/>
  <c r="M1552" i="137"/>
  <c r="M1560" i="137" s="1"/>
  <c r="F110" i="137"/>
  <c r="F113" i="137" s="1"/>
  <c r="F226" i="137"/>
  <c r="D242" i="137"/>
  <c r="D248" i="137"/>
  <c r="C248" i="137"/>
  <c r="C256" i="137"/>
  <c r="D283" i="137"/>
  <c r="D286" i="137" s="1"/>
  <c r="C283" i="137"/>
  <c r="H1568" i="137"/>
  <c r="C576" i="137"/>
  <c r="D576" i="137"/>
  <c r="C655" i="137"/>
  <c r="D659" i="137" s="1"/>
  <c r="D161" i="137"/>
  <c r="D162" i="137" s="1"/>
  <c r="O1446" i="137"/>
  <c r="O1448" i="137" s="1"/>
  <c r="C685" i="137"/>
  <c r="D685" i="137"/>
  <c r="C603" i="137"/>
  <c r="D643" i="137" s="1"/>
  <c r="G1458" i="137"/>
  <c r="D1458" i="137" s="1"/>
  <c r="K1452" i="137"/>
  <c r="K1458" i="137" s="1"/>
  <c r="C221" i="137"/>
  <c r="C789" i="137"/>
  <c r="L1458" i="137"/>
  <c r="F1496" i="137"/>
  <c r="D1157" i="137"/>
  <c r="C367" i="137"/>
  <c r="C368" i="137" s="1"/>
  <c r="E1284" i="137"/>
  <c r="D453" i="137" s="1"/>
  <c r="O1440" i="137"/>
  <c r="O1442" i="137" s="1"/>
  <c r="Q1446" i="137" s="1"/>
  <c r="C43" i="137"/>
  <c r="C694" i="137"/>
  <c r="D694" i="137"/>
  <c r="F1527" i="137"/>
  <c r="G1526" i="137"/>
  <c r="D110" i="137"/>
  <c r="D113" i="137" s="1"/>
  <c r="D157" i="137"/>
  <c r="C157" i="137"/>
  <c r="C388" i="137"/>
  <c r="G1518" i="137"/>
  <c r="D650" i="137"/>
  <c r="C650" i="137"/>
  <c r="D202" i="137"/>
  <c r="C336" i="137"/>
  <c r="L1438" i="137"/>
  <c r="D189" i="137"/>
  <c r="D1154" i="137"/>
  <c r="D671" i="137"/>
  <c r="C671" i="137"/>
  <c r="K1461" i="137"/>
  <c r="K1469" i="137" s="1"/>
  <c r="C448" i="137"/>
  <c r="C450" i="137" s="1"/>
  <c r="D450" i="137" s="1"/>
  <c r="L1496" i="137"/>
  <c r="F1157" i="137"/>
  <c r="D149" i="137"/>
  <c r="C149" i="137"/>
  <c r="E478" i="137"/>
  <c r="F472" i="137"/>
  <c r="F478" i="137" s="1"/>
  <c r="F811" i="137"/>
  <c r="D553" i="137"/>
  <c r="H1436" i="137"/>
  <c r="L1526" i="137"/>
  <c r="M1526" i="137" s="1"/>
  <c r="M1518" i="137"/>
  <c r="D73" i="137"/>
  <c r="C73" i="137"/>
  <c r="D184" i="137"/>
  <c r="E31" i="137"/>
  <c r="E43" i="137" s="1"/>
  <c r="D136" i="137"/>
  <c r="C242" i="137"/>
  <c r="C553" i="137"/>
  <c r="C202" i="137"/>
  <c r="D43" i="137"/>
  <c r="C110" i="137"/>
  <c r="D482" i="137"/>
  <c r="C748" i="137"/>
  <c r="K1437" i="137"/>
  <c r="K1438" i="137" s="1"/>
  <c r="D188" i="137" s="1"/>
  <c r="E472" i="136"/>
  <c r="P7" i="136"/>
  <c r="D394" i="136"/>
  <c r="D86" i="136" s="1"/>
  <c r="E412" i="136"/>
  <c r="E13" i="136"/>
  <c r="M13" i="136" s="1"/>
  <c r="E174" i="136"/>
  <c r="D174" i="136"/>
  <c r="P8" i="136"/>
  <c r="M8" i="136"/>
  <c r="L165" i="136"/>
  <c r="L167" i="136" s="1"/>
  <c r="D166" i="136"/>
  <c r="F57" i="136"/>
  <c r="F58" i="136" s="1"/>
  <c r="F60" i="136" s="1"/>
  <c r="L80" i="136"/>
  <c r="I10" i="136"/>
  <c r="N51" i="136"/>
  <c r="E210" i="136"/>
  <c r="M308" i="136"/>
  <c r="N308" i="136" s="1"/>
  <c r="M10" i="136"/>
  <c r="F47" i="136"/>
  <c r="D297" i="136"/>
  <c r="D46" i="136" s="1"/>
  <c r="D242" i="136"/>
  <c r="D24" i="136" s="1"/>
  <c r="E101" i="136"/>
  <c r="E454" i="136"/>
  <c r="E280" i="136"/>
  <c r="E42" i="136" s="1"/>
  <c r="I28" i="136"/>
  <c r="N28" i="136"/>
  <c r="D149" i="136"/>
  <c r="E449" i="136"/>
  <c r="P28" i="136"/>
  <c r="D29" i="136"/>
  <c r="E242" i="136"/>
  <c r="E24" i="136" s="1"/>
  <c r="I8" i="136"/>
  <c r="E382" i="136"/>
  <c r="E383" i="136" s="1"/>
  <c r="E83" i="136" s="1"/>
  <c r="G83" i="136" s="1"/>
  <c r="E250" i="136"/>
  <c r="E25" i="136" s="1"/>
  <c r="D250" i="136"/>
  <c r="D25" i="136" s="1"/>
  <c r="M6" i="136"/>
  <c r="E149" i="136"/>
  <c r="D347" i="136"/>
  <c r="D55" i="136" s="1"/>
  <c r="I7" i="136"/>
  <c r="I9" i="136"/>
  <c r="D449" i="136"/>
  <c r="M44" i="136" l="1"/>
  <c r="M22" i="136"/>
  <c r="D44" i="137"/>
  <c r="D16" i="134"/>
  <c r="F13" i="108" s="1"/>
  <c r="P14" i="136"/>
  <c r="D39" i="7"/>
  <c r="F15" i="108" s="1"/>
  <c r="D45" i="11"/>
  <c r="F17" i="108" s="1"/>
  <c r="P56" i="136"/>
  <c r="F28" i="140"/>
  <c r="P54" i="136"/>
  <c r="P44" i="136"/>
  <c r="F106" i="136"/>
  <c r="H13" i="140"/>
  <c r="D12" i="124"/>
  <c r="E23" i="141"/>
  <c r="H23" i="141" s="1"/>
  <c r="I14" i="136"/>
  <c r="E39" i="7"/>
  <c r="G15" i="108" s="1"/>
  <c r="G690" i="137"/>
  <c r="E690" i="137" s="1"/>
  <c r="F694" i="137" s="1"/>
  <c r="F723" i="137" s="1"/>
  <c r="F31" i="107"/>
  <c r="M14" i="136"/>
  <c r="K27" i="140"/>
  <c r="E39" i="1"/>
  <c r="G8" i="108" s="1"/>
  <c r="E524" i="136"/>
  <c r="F10" i="124"/>
  <c r="D32" i="143"/>
  <c r="D34" i="143" s="1"/>
  <c r="D37" i="143" s="1"/>
  <c r="C30" i="110"/>
  <c r="C35" i="110" s="1"/>
  <c r="E32" i="143"/>
  <c r="E34" i="143" s="1"/>
  <c r="E37" i="143" s="1"/>
  <c r="E30" i="110"/>
  <c r="E35" i="110" s="1"/>
  <c r="E48" i="143"/>
  <c r="E39" i="110"/>
  <c r="E43" i="110" s="1"/>
  <c r="D380" i="136"/>
  <c r="D382" i="136" s="1"/>
  <c r="D383" i="136" s="1"/>
  <c r="D48" i="143"/>
  <c r="G13" i="140"/>
  <c r="F11" i="124" s="1"/>
  <c r="E11" i="124" s="1"/>
  <c r="D419" i="137"/>
  <c r="G22" i="124"/>
  <c r="D19" i="141"/>
  <c r="I22" i="124" s="1"/>
  <c r="H22" i="124" s="1"/>
  <c r="D22" i="141"/>
  <c r="K22" i="124" s="1"/>
  <c r="G39" i="107" s="1"/>
  <c r="E359" i="136"/>
  <c r="E81" i="136" s="1"/>
  <c r="E523" i="136" s="1"/>
  <c r="E527" i="136" s="1"/>
  <c r="E10" i="1"/>
  <c r="D417" i="136"/>
  <c r="D89" i="136" s="1"/>
  <c r="D512" i="136" s="1"/>
  <c r="D10" i="11"/>
  <c r="D18" i="11" s="1"/>
  <c r="F16" i="108" s="1"/>
  <c r="J23" i="142"/>
  <c r="E27" i="22" s="1"/>
  <c r="G41" i="107" s="1"/>
  <c r="K22" i="140"/>
  <c r="I14" i="124" s="1"/>
  <c r="H14" i="124" s="1"/>
  <c r="D454" i="136"/>
  <c r="D39" i="5"/>
  <c r="F27" i="108" s="1"/>
  <c r="D359" i="136"/>
  <c r="D81" i="136" s="1"/>
  <c r="D10" i="1"/>
  <c r="D532" i="137"/>
  <c r="D577" i="137" s="1"/>
  <c r="J18" i="142"/>
  <c r="J25" i="142" s="1"/>
  <c r="D16" i="22" s="1"/>
  <c r="D27" i="22" s="1"/>
  <c r="F41" i="107" s="1"/>
  <c r="D21" i="141"/>
  <c r="E220" i="138"/>
  <c r="T29" i="143"/>
  <c r="I9" i="124"/>
  <c r="D210" i="136"/>
  <c r="D19" i="136" s="1"/>
  <c r="G9" i="124"/>
  <c r="E107" i="136"/>
  <c r="E108" i="136" s="1"/>
  <c r="E115" i="136" s="1"/>
  <c r="E117" i="136" s="1"/>
  <c r="D32" i="9"/>
  <c r="F20" i="108" s="1"/>
  <c r="H20" i="108" s="1"/>
  <c r="J20" i="108" s="1"/>
  <c r="P22" i="136"/>
  <c r="E417" i="136"/>
  <c r="E89" i="136" s="1"/>
  <c r="E512" i="136" s="1"/>
  <c r="E10" i="11"/>
  <c r="E18" i="11" s="1"/>
  <c r="G16" i="108" s="1"/>
  <c r="E44" i="23"/>
  <c r="G47" i="107" s="1"/>
  <c r="J13" i="140"/>
  <c r="F13" i="124" s="1"/>
  <c r="M22" i="140"/>
  <c r="I16" i="124" s="1"/>
  <c r="G16" i="124"/>
  <c r="J22" i="140"/>
  <c r="I13" i="124" s="1"/>
  <c r="G13" i="124"/>
  <c r="F56" i="107"/>
  <c r="D28" i="119"/>
  <c r="N27" i="140"/>
  <c r="D17" i="124"/>
  <c r="E22" i="140"/>
  <c r="I10" i="124" s="1"/>
  <c r="G10" i="124"/>
  <c r="O22" i="140"/>
  <c r="I18" i="124" s="1"/>
  <c r="G18" i="124"/>
  <c r="N22" i="140"/>
  <c r="I17" i="124" s="1"/>
  <c r="G17" i="124"/>
  <c r="E23" i="136"/>
  <c r="E10" i="87"/>
  <c r="E12" i="87" s="1"/>
  <c r="G54" i="107" s="1"/>
  <c r="F22" i="124"/>
  <c r="E22" i="124" s="1"/>
  <c r="C42" i="141"/>
  <c r="I23" i="124" s="1"/>
  <c r="G23" i="124"/>
  <c r="G22" i="140"/>
  <c r="I11" i="124" s="1"/>
  <c r="G11" i="124"/>
  <c r="F12" i="124"/>
  <c r="D23" i="136"/>
  <c r="D10" i="87"/>
  <c r="D12" i="87" s="1"/>
  <c r="F54" i="107" s="1"/>
  <c r="H22" i="140"/>
  <c r="I12" i="124" s="1"/>
  <c r="G12" i="124"/>
  <c r="D9" i="124"/>
  <c r="H27" i="140"/>
  <c r="L22" i="140"/>
  <c r="I15" i="124" s="1"/>
  <c r="G15" i="124"/>
  <c r="E28" i="119"/>
  <c r="N22" i="136"/>
  <c r="M13" i="140"/>
  <c r="F16" i="124" s="1"/>
  <c r="D16" i="124"/>
  <c r="C34" i="141"/>
  <c r="F23" i="124" s="1"/>
  <c r="D23" i="124"/>
  <c r="I215" i="136"/>
  <c r="I217" i="136" s="1"/>
  <c r="D19" i="89"/>
  <c r="J215" i="136"/>
  <c r="J217" i="136" s="1"/>
  <c r="G52" i="107"/>
  <c r="K13" i="140"/>
  <c r="D14" i="124"/>
  <c r="D10" i="124"/>
  <c r="E199" i="136"/>
  <c r="E16" i="136" s="1"/>
  <c r="N16" i="136" s="1"/>
  <c r="N43" i="136"/>
  <c r="G22" i="107"/>
  <c r="N50" i="136"/>
  <c r="E528" i="136"/>
  <c r="E39" i="29"/>
  <c r="G30" i="107" s="1"/>
  <c r="I56" i="136"/>
  <c r="M50" i="136"/>
  <c r="P50" i="136"/>
  <c r="I44" i="136"/>
  <c r="D91" i="137"/>
  <c r="E57" i="136"/>
  <c r="E504" i="136" s="1"/>
  <c r="L27" i="140"/>
  <c r="E82" i="138"/>
  <c r="M43" i="136"/>
  <c r="D528" i="136"/>
  <c r="D39" i="29"/>
  <c r="F30" i="107" s="1"/>
  <c r="G86" i="136"/>
  <c r="I86" i="136" s="1"/>
  <c r="S7" i="143"/>
  <c r="G31" i="107"/>
  <c r="P26" i="140"/>
  <c r="S26" i="140" s="1"/>
  <c r="E326" i="138"/>
  <c r="D524" i="136"/>
  <c r="D199" i="136"/>
  <c r="D16" i="136" s="1"/>
  <c r="D21" i="136"/>
  <c r="P21" i="136" s="1"/>
  <c r="D478" i="137"/>
  <c r="D28" i="140"/>
  <c r="P13" i="136"/>
  <c r="N46" i="136"/>
  <c r="M366" i="136"/>
  <c r="E191" i="138"/>
  <c r="I28" i="140"/>
  <c r="F27" i="140"/>
  <c r="T40" i="143"/>
  <c r="T47" i="143" s="1"/>
  <c r="I54" i="136"/>
  <c r="N54" i="136"/>
  <c r="M56" i="136"/>
  <c r="J88" i="136"/>
  <c r="S28" i="143"/>
  <c r="M52" i="136"/>
  <c r="I43" i="136"/>
  <c r="M27" i="140"/>
  <c r="J82" i="136"/>
  <c r="O1468" i="137"/>
  <c r="O1470" i="137" s="1"/>
  <c r="D27" i="140"/>
  <c r="M54" i="136"/>
  <c r="E27" i="140"/>
  <c r="I27" i="140"/>
  <c r="E170" i="136"/>
  <c r="E10" i="120" s="1"/>
  <c r="I52" i="136"/>
  <c r="F406" i="137"/>
  <c r="L13" i="140"/>
  <c r="P19" i="140"/>
  <c r="P22" i="140" s="1"/>
  <c r="N52" i="136"/>
  <c r="D806" i="137"/>
  <c r="D811" i="137" s="1"/>
  <c r="D1471" i="137"/>
  <c r="D1473" i="137" s="1"/>
  <c r="G27" i="140"/>
  <c r="D287" i="137"/>
  <c r="F43" i="137"/>
  <c r="F44" i="137" s="1"/>
  <c r="N13" i="140"/>
  <c r="I55" i="136"/>
  <c r="N55" i="136"/>
  <c r="J27" i="140"/>
  <c r="E138" i="138"/>
  <c r="C45" i="141"/>
  <c r="C643" i="137"/>
  <c r="H1434" i="137"/>
  <c r="D384" i="137" s="1"/>
  <c r="D391" i="137" s="1"/>
  <c r="C20" i="144"/>
  <c r="C22" i="144" s="1"/>
  <c r="E13" i="144"/>
  <c r="R15" i="142"/>
  <c r="G30" i="142"/>
  <c r="B23" i="142"/>
  <c r="E26" i="142"/>
  <c r="E25" i="142"/>
  <c r="E22" i="141"/>
  <c r="H22" i="141" s="1"/>
  <c r="C27" i="140"/>
  <c r="C13" i="140"/>
  <c r="F9" i="124" s="1"/>
  <c r="P10" i="140"/>
  <c r="O27" i="140"/>
  <c r="O13" i="140"/>
  <c r="J33" i="139"/>
  <c r="B27" i="139"/>
  <c r="F25" i="139"/>
  <c r="D309" i="137"/>
  <c r="D316" i="137" s="1"/>
  <c r="C531" i="137"/>
  <c r="C532" i="137" s="1"/>
  <c r="C174" i="137"/>
  <c r="D174" i="137"/>
  <c r="D177" i="137" s="1"/>
  <c r="D143" i="137"/>
  <c r="D150" i="137" s="1"/>
  <c r="C143" i="137"/>
  <c r="D406" i="137"/>
  <c r="D723" i="137"/>
  <c r="C659" i="137"/>
  <c r="D368" i="137"/>
  <c r="D377" i="137" s="1"/>
  <c r="D185" i="137"/>
  <c r="D190" i="137" s="1"/>
  <c r="D226" i="137" s="1"/>
  <c r="F449" i="136"/>
  <c r="D91" i="136"/>
  <c r="K449" i="136"/>
  <c r="P55" i="136"/>
  <c r="M55" i="136"/>
  <c r="E84" i="136"/>
  <c r="D519" i="136"/>
  <c r="M511" i="136"/>
  <c r="J86" i="136"/>
  <c r="M25" i="136"/>
  <c r="P25" i="136"/>
  <c r="D478" i="136"/>
  <c r="D472" i="136"/>
  <c r="I42" i="136"/>
  <c r="E47" i="136"/>
  <c r="N42" i="136"/>
  <c r="E102" i="136"/>
  <c r="E507" i="136"/>
  <c r="M24" i="136"/>
  <c r="P24" i="136"/>
  <c r="I21" i="136"/>
  <c r="G21" i="136"/>
  <c r="N21" i="136"/>
  <c r="E91" i="136"/>
  <c r="L449" i="136"/>
  <c r="I24" i="136"/>
  <c r="N24" i="136"/>
  <c r="I83" i="136"/>
  <c r="P29" i="136"/>
  <c r="E19" i="136"/>
  <c r="E520" i="136"/>
  <c r="E521" i="136" s="1"/>
  <c r="M46" i="136"/>
  <c r="P46" i="136"/>
  <c r="D170" i="136"/>
  <c r="D10" i="120" s="1"/>
  <c r="I13" i="136"/>
  <c r="N13" i="136"/>
  <c r="N25" i="136"/>
  <c r="I25" i="136"/>
  <c r="D57" i="136"/>
  <c r="F101" i="136"/>
  <c r="J101" i="136"/>
  <c r="M131" i="136"/>
  <c r="D102" i="136"/>
  <c r="K101" i="136" l="1"/>
  <c r="E10" i="124"/>
  <c r="E12" i="124"/>
  <c r="F22" i="108"/>
  <c r="H22" i="108" s="1"/>
  <c r="E28" i="140"/>
  <c r="J10" i="124" s="1"/>
  <c r="G22" i="108"/>
  <c r="P27" i="140"/>
  <c r="S27" i="140" s="1"/>
  <c r="D24" i="89"/>
  <c r="F52" i="107" s="1"/>
  <c r="H9" i="124"/>
  <c r="E694" i="137"/>
  <c r="E40" i="29"/>
  <c r="D40" i="29"/>
  <c r="L383" i="136"/>
  <c r="D83" i="136"/>
  <c r="D84" i="136" s="1"/>
  <c r="M16" i="136"/>
  <c r="E525" i="136"/>
  <c r="D23" i="141"/>
  <c r="J22" i="124" s="1"/>
  <c r="F39" i="107" s="1"/>
  <c r="G89" i="136"/>
  <c r="I89" i="136" s="1"/>
  <c r="E58" i="143"/>
  <c r="E60" i="143" s="1"/>
  <c r="E62" i="143" s="1"/>
  <c r="F59" i="143" s="1"/>
  <c r="E49" i="110"/>
  <c r="E54" i="110" s="1"/>
  <c r="E55" i="110" s="1"/>
  <c r="E57" i="110" s="1"/>
  <c r="M28" i="140"/>
  <c r="J16" i="124" s="1"/>
  <c r="J89" i="136"/>
  <c r="D35" i="1"/>
  <c r="D39" i="1" s="1"/>
  <c r="F8" i="108" s="1"/>
  <c r="B18" i="142"/>
  <c r="R18" i="142" s="1"/>
  <c r="M449" i="136"/>
  <c r="J91" i="136"/>
  <c r="H23" i="124"/>
  <c r="G28" i="140"/>
  <c r="J11" i="124" s="1"/>
  <c r="G7" i="108"/>
  <c r="G11" i="108" s="1"/>
  <c r="E20" i="1"/>
  <c r="M21" i="136"/>
  <c r="G19" i="124"/>
  <c r="P16" i="136"/>
  <c r="F7" i="108"/>
  <c r="D20" i="1"/>
  <c r="D520" i="136"/>
  <c r="D521" i="136" s="1"/>
  <c r="F521" i="136" s="1"/>
  <c r="D19" i="124"/>
  <c r="D523" i="136"/>
  <c r="J81" i="136"/>
  <c r="E9" i="124"/>
  <c r="E23" i="124"/>
  <c r="H12" i="124"/>
  <c r="N23" i="136"/>
  <c r="I23" i="136"/>
  <c r="K19" i="124"/>
  <c r="G38" i="107" s="1"/>
  <c r="H13" i="124"/>
  <c r="E12" i="136"/>
  <c r="I12" i="136" s="1"/>
  <c r="G43" i="107"/>
  <c r="E16" i="124"/>
  <c r="P23" i="136"/>
  <c r="J28" i="140"/>
  <c r="J13" i="124" s="1"/>
  <c r="H17" i="124"/>
  <c r="H16" i="124"/>
  <c r="C46" i="141"/>
  <c r="H28" i="140"/>
  <c r="J12" i="124" s="1"/>
  <c r="I19" i="124"/>
  <c r="I16" i="136"/>
  <c r="H18" i="124"/>
  <c r="O28" i="140"/>
  <c r="J18" i="124" s="1"/>
  <c r="F18" i="124"/>
  <c r="E18" i="124" s="1"/>
  <c r="N28" i="140"/>
  <c r="J17" i="124" s="1"/>
  <c r="F17" i="124"/>
  <c r="E17" i="124" s="1"/>
  <c r="M23" i="136"/>
  <c r="K28" i="140"/>
  <c r="J14" i="124" s="1"/>
  <c r="F14" i="124"/>
  <c r="E14" i="124" s="1"/>
  <c r="H15" i="124"/>
  <c r="H11" i="124"/>
  <c r="H45" i="141"/>
  <c r="K23" i="124"/>
  <c r="G40" i="107" s="1"/>
  <c r="D12" i="136"/>
  <c r="F43" i="107"/>
  <c r="L28" i="140"/>
  <c r="J15" i="124" s="1"/>
  <c r="F15" i="124"/>
  <c r="E15" i="124" s="1"/>
  <c r="H10" i="124"/>
  <c r="E13" i="124"/>
  <c r="D92" i="136"/>
  <c r="C13" i="144"/>
  <c r="C33" i="144"/>
  <c r="C38" i="144" s="1"/>
  <c r="B46" i="144" s="1"/>
  <c r="C55" i="144"/>
  <c r="P13" i="140"/>
  <c r="P28" i="140" s="1"/>
  <c r="S28" i="140" s="1"/>
  <c r="C28" i="140"/>
  <c r="J9" i="124" s="1"/>
  <c r="G36" i="139"/>
  <c r="I25" i="139"/>
  <c r="I33" i="139" s="1"/>
  <c r="F27" i="139"/>
  <c r="G27" i="139" s="1"/>
  <c r="B33" i="139"/>
  <c r="D504" i="136"/>
  <c r="P57" i="136"/>
  <c r="E26" i="136"/>
  <c r="E503" i="136" s="1"/>
  <c r="E505" i="136" s="1"/>
  <c r="N19" i="136"/>
  <c r="I19" i="136"/>
  <c r="G91" i="136"/>
  <c r="I91" i="136" s="1"/>
  <c r="E92" i="136"/>
  <c r="E93" i="136" s="1"/>
  <c r="E532" i="136"/>
  <c r="E529" i="136"/>
  <c r="E537" i="136"/>
  <c r="D26" i="136"/>
  <c r="D503" i="136" s="1"/>
  <c r="M19" i="136"/>
  <c r="P19" i="136"/>
  <c r="G24" i="108" l="1"/>
  <c r="G28" i="108" s="1"/>
  <c r="H19" i="124"/>
  <c r="M12" i="136"/>
  <c r="B26" i="142"/>
  <c r="B25" i="142"/>
  <c r="B30" i="142" s="1"/>
  <c r="J83" i="136"/>
  <c r="F11" i="108"/>
  <c r="G62" i="143"/>
  <c r="G59" i="143" s="1"/>
  <c r="E77" i="143"/>
  <c r="D93" i="136"/>
  <c r="D97" i="136" s="1"/>
  <c r="E19" i="124"/>
  <c r="D527" i="136"/>
  <c r="D525" i="136"/>
  <c r="F525" i="136" s="1"/>
  <c r="E17" i="136"/>
  <c r="E30" i="136" s="1"/>
  <c r="E541" i="136" s="1"/>
  <c r="N12" i="136"/>
  <c r="D17" i="136"/>
  <c r="D30" i="136" s="1"/>
  <c r="P12" i="136"/>
  <c r="H46" i="141"/>
  <c r="J23" i="124"/>
  <c r="F40" i="107" s="1"/>
  <c r="F19" i="124"/>
  <c r="G58" i="107"/>
  <c r="D505" i="136"/>
  <c r="J19" i="124"/>
  <c r="F38" i="107" s="1"/>
  <c r="F505" i="136"/>
  <c r="K33" i="139"/>
  <c r="K38" i="139" s="1"/>
  <c r="F33" i="139"/>
  <c r="E97" i="136"/>
  <c r="E95" i="136"/>
  <c r="G92" i="136"/>
  <c r="P17" i="136" l="1"/>
  <c r="D95" i="136"/>
  <c r="F24" i="108"/>
  <c r="F28" i="108" s="1"/>
  <c r="D537" i="136"/>
  <c r="D529" i="136"/>
  <c r="F529" i="136" s="1"/>
  <c r="D532" i="136"/>
  <c r="F58" i="107"/>
  <c r="F34" i="139"/>
  <c r="H33" i="139"/>
  <c r="G33" i="139"/>
  <c r="D541" i="136"/>
  <c r="P30" i="136"/>
  <c r="D511" i="136"/>
  <c r="D513" i="136" s="1"/>
  <c r="D540" i="136"/>
  <c r="F104" i="136"/>
  <c r="M130" i="136"/>
  <c r="M132" i="136" s="1"/>
  <c r="D103" i="136"/>
  <c r="I92" i="136"/>
  <c r="G97" i="136"/>
  <c r="I97" i="136" s="1"/>
  <c r="E540" i="136"/>
  <c r="E511" i="136"/>
  <c r="E513" i="136" s="1"/>
  <c r="E103" i="136"/>
  <c r="O97" i="136"/>
  <c r="O101" i="136" s="1"/>
  <c r="N97" i="136"/>
  <c r="N101" i="136" s="1"/>
  <c r="J97" i="136"/>
  <c r="E111" i="136" l="1"/>
  <c r="E109" i="136"/>
  <c r="E471" i="136"/>
  <c r="E544" i="136"/>
  <c r="E542" i="136"/>
  <c r="D111" i="136"/>
  <c r="D109" i="136"/>
  <c r="D471" i="136"/>
  <c r="D544" i="136"/>
  <c r="D542" i="136"/>
  <c r="F542" i="136" s="1"/>
  <c r="F513" i="136"/>
  <c r="D477" i="136" l="1"/>
  <c r="D479" i="136" s="1"/>
  <c r="D123" i="136" s="1"/>
  <c r="F31" i="108" s="1"/>
  <c r="D473" i="136"/>
  <c r="D122" i="136" s="1"/>
  <c r="F30" i="108" s="1"/>
  <c r="J109" i="136"/>
  <c r="J123" i="136" s="1"/>
  <c r="D255" i="136"/>
  <c r="D27" i="62" s="1"/>
  <c r="D515" i="136"/>
  <c r="D119" i="136"/>
  <c r="D121" i="136" s="1"/>
  <c r="M121" i="136" s="1"/>
  <c r="D113" i="136"/>
  <c r="E477" i="136"/>
  <c r="E479" i="136" s="1"/>
  <c r="E123" i="136" s="1"/>
  <c r="E473" i="136"/>
  <c r="E122" i="136" s="1"/>
  <c r="F127" i="136"/>
  <c r="E515" i="136"/>
  <c r="E255" i="136"/>
  <c r="E119" i="136"/>
  <c r="E121" i="136" s="1"/>
  <c r="E113" i="136"/>
  <c r="E258" i="136" l="1"/>
  <c r="E264" i="136" s="1"/>
  <c r="E35" i="136" s="1"/>
  <c r="E32" i="62"/>
  <c r="E33" i="62" s="1"/>
  <c r="G14" i="107" s="1"/>
  <c r="G34" i="107" s="1"/>
  <c r="G63" i="107" s="1"/>
  <c r="D258" i="136"/>
  <c r="D264" i="136" s="1"/>
  <c r="D35" i="136" s="1"/>
  <c r="D38" i="136" s="1"/>
  <c r="D32" i="62"/>
  <c r="D33" i="62" s="1"/>
  <c r="F14" i="107" s="1"/>
  <c r="D536" i="136"/>
  <c r="D538" i="136" s="1"/>
  <c r="E536" i="136"/>
  <c r="E538" i="136" s="1"/>
  <c r="P35" i="136" l="1"/>
  <c r="G258" i="136"/>
  <c r="D533" i="136"/>
  <c r="D534" i="136" s="1"/>
  <c r="D508" i="136"/>
  <c r="I35" i="136"/>
  <c r="J35" i="136" s="1"/>
  <c r="N35" i="136"/>
  <c r="N59" i="136" s="1"/>
  <c r="E38" i="136"/>
  <c r="O39" i="136"/>
  <c r="M35" i="136"/>
  <c r="F538" i="136"/>
  <c r="E533" i="136" l="1"/>
  <c r="E534" i="136" s="1"/>
  <c r="E516" i="136"/>
  <c r="E517" i="136" s="1"/>
  <c r="E545" i="136"/>
  <c r="E546" i="136" s="1"/>
  <c r="E508" i="136"/>
  <c r="E509" i="136" s="1"/>
  <c r="E58" i="136"/>
  <c r="E60" i="136" s="1"/>
  <c r="D516" i="136"/>
  <c r="D517" i="136" s="1"/>
  <c r="F517" i="136" s="1"/>
  <c r="M38" i="136"/>
  <c r="P38" i="136"/>
  <c r="F534" i="136"/>
  <c r="D270" i="136" l="1"/>
  <c r="D271" i="136" l="1"/>
  <c r="D280" i="136" s="1"/>
  <c r="D42" i="136" s="1"/>
  <c r="F20" i="107" l="1"/>
  <c r="F34" i="107" s="1"/>
  <c r="F63" i="107" s="1"/>
  <c r="P42" i="136"/>
  <c r="D507" i="136"/>
  <c r="D509" i="136" s="1"/>
  <c r="F509" i="136" s="1"/>
  <c r="D47" i="136"/>
  <c r="M42" i="136"/>
  <c r="M59" i="136" s="1"/>
  <c r="D545" i="136"/>
  <c r="D546" i="136" s="1"/>
  <c r="F546" i="136" s="1"/>
  <c r="P47" i="136" l="1"/>
  <c r="D58" i="136"/>
  <c r="P58" i="136" l="1"/>
  <c r="D60" i="136"/>
  <c r="O42" i="143" l="1"/>
  <c r="R42" i="143" s="1"/>
  <c r="T51" i="143" s="1"/>
  <c r="T58" i="143" s="1"/>
  <c r="T59" i="143" s="1"/>
  <c r="T60" i="143" s="1"/>
  <c r="D51" i="143"/>
  <c r="D58" i="143" l="1"/>
  <c r="D60" i="143" s="1"/>
  <c r="D62" i="143" s="1"/>
  <c r="G76" i="143" s="1"/>
  <c r="C46" i="110"/>
  <c r="C54" i="110" s="1"/>
  <c r="C55" i="110" s="1"/>
  <c r="C57" i="110" s="1"/>
  <c r="D77" i="143"/>
  <c r="F64" i="143"/>
  <c r="F62" i="143" l="1"/>
  <c r="N78" i="143"/>
  <c r="O47" i="143"/>
  <c r="R47" i="143" s="1"/>
  <c r="O57" i="143" l="1"/>
  <c r="R57" i="143" s="1"/>
  <c r="E38" i="9" l="1"/>
  <c r="D38" i="9"/>
  <c r="D45" i="1"/>
  <c r="E6" i="108"/>
  <c r="K9" i="91"/>
  <c r="L9" i="91"/>
  <c r="M9" i="91"/>
  <c r="K10" i="91"/>
  <c r="L10" i="91"/>
  <c r="M10" i="91"/>
  <c r="G11" i="91"/>
  <c r="H11" i="91" s="1"/>
  <c r="K9" i="105"/>
  <c r="K8" i="91" s="1"/>
  <c r="K10" i="105"/>
  <c r="L10" i="105"/>
  <c r="M10" i="105"/>
  <c r="K11" i="105"/>
  <c r="L11" i="105"/>
  <c r="M11" i="105"/>
  <c r="G12" i="105"/>
  <c r="H12" i="105" s="1"/>
  <c r="F9" i="105"/>
  <c r="F8" i="91" s="1"/>
  <c r="K11" i="91"/>
  <c r="L11" i="91" s="1"/>
  <c r="M11" i="91" s="1"/>
  <c r="B16" i="62"/>
  <c r="B17" i="62"/>
  <c r="B22" i="62"/>
  <c r="B23" i="62"/>
  <c r="B28" i="62" s="1"/>
  <c r="B32" i="108"/>
  <c r="D7" i="106"/>
  <c r="G7" i="106"/>
  <c r="K12" i="105" l="1"/>
  <c r="L12" i="105" s="1"/>
  <c r="M12" i="105" s="1"/>
</calcChain>
</file>

<file path=xl/comments1.xml><?xml version="1.0" encoding="utf-8"?>
<comments xmlns="http://schemas.openxmlformats.org/spreadsheetml/2006/main">
  <authors>
    <author>tc={624A7D34-B971-4FD3-ABA8-A3B682785C12}</author>
  </authors>
  <commentList>
    <comment ref="B22"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Contra??</t>
        </r>
      </text>
    </comment>
  </commentList>
</comments>
</file>

<file path=xl/comments2.xml><?xml version="1.0" encoding="utf-8"?>
<comments xmlns="http://schemas.openxmlformats.org/spreadsheetml/2006/main">
  <authors>
    <author>tc={17EEE7B4-52C2-49F1-99BD-448C62B1BB72}</author>
    <author>tc={624A7D34-B971-4FD3-ABA8-A3B682785C12}</author>
  </authors>
  <commentList>
    <comment ref="B313"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Reference to annexure B seems incorrect</t>
        </r>
      </text>
    </comment>
    <comment ref="B436" authorId="1"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Contra??</t>
        </r>
      </text>
    </comment>
  </commentList>
</comments>
</file>

<file path=xl/sharedStrings.xml><?xml version="1.0" encoding="utf-8"?>
<sst xmlns="http://schemas.openxmlformats.org/spreadsheetml/2006/main" count="4983" uniqueCount="3080">
  <si>
    <t>ii</t>
  </si>
  <si>
    <t>Rs.</t>
  </si>
  <si>
    <t>i</t>
  </si>
  <si>
    <t>Sr. No.</t>
  </si>
  <si>
    <t>I</t>
  </si>
  <si>
    <t>Sr.No</t>
  </si>
  <si>
    <t>Particulars</t>
  </si>
  <si>
    <t>Total</t>
  </si>
  <si>
    <t>Account</t>
  </si>
  <si>
    <t xml:space="preserve">Total </t>
  </si>
  <si>
    <t>Gross Block</t>
  </si>
  <si>
    <t>Provision for Depreciation</t>
  </si>
  <si>
    <t>Net Block</t>
  </si>
  <si>
    <t>Opening Balance</t>
  </si>
  <si>
    <t>Closing balance</t>
  </si>
  <si>
    <t>Sr. No</t>
  </si>
  <si>
    <t>II</t>
  </si>
  <si>
    <t>Account code</t>
  </si>
  <si>
    <t>PARTICULARS</t>
  </si>
  <si>
    <t>Revenue from operations</t>
  </si>
  <si>
    <t>(a)</t>
  </si>
  <si>
    <t>(b)</t>
  </si>
  <si>
    <t>(c)</t>
  </si>
  <si>
    <t>Inventories</t>
  </si>
  <si>
    <t>Authorised:</t>
  </si>
  <si>
    <t>Issued, Subscribed and Paid up:</t>
  </si>
  <si>
    <t>Account Code</t>
  </si>
  <si>
    <t>Reserves &amp; Surplus</t>
  </si>
  <si>
    <t>(A)</t>
  </si>
  <si>
    <t>(B)</t>
  </si>
  <si>
    <t>(C)</t>
  </si>
  <si>
    <t>(D)</t>
  </si>
  <si>
    <t>(E)</t>
  </si>
  <si>
    <t>(F)</t>
  </si>
  <si>
    <t>Reserve for Material Cost Variance Account</t>
  </si>
  <si>
    <t>Cash Flow from Operating Activities</t>
  </si>
  <si>
    <t>Note No.</t>
  </si>
  <si>
    <t>EQUITY AND LIABILITES</t>
  </si>
  <si>
    <t>Long-term provisions</t>
  </si>
  <si>
    <t>Short-term provisions</t>
  </si>
  <si>
    <t xml:space="preserve">ASSETS  </t>
  </si>
  <si>
    <t>Intangible assets under development</t>
  </si>
  <si>
    <t>Long-term loans and advances</t>
  </si>
  <si>
    <t>(d)</t>
  </si>
  <si>
    <t>Other non-current assets</t>
  </si>
  <si>
    <t>(e)</t>
  </si>
  <si>
    <t>(f)</t>
  </si>
  <si>
    <t>Short-term loans &amp; advances</t>
  </si>
  <si>
    <t>Expenses</t>
  </si>
  <si>
    <t>Basic</t>
  </si>
  <si>
    <t>Diluted</t>
  </si>
  <si>
    <t>Add</t>
  </si>
  <si>
    <t xml:space="preserve">Intangible assets </t>
  </si>
  <si>
    <t>(i)</t>
  </si>
  <si>
    <t>(ii)</t>
  </si>
  <si>
    <t>(iii)</t>
  </si>
  <si>
    <t>(iv)</t>
  </si>
  <si>
    <t>Total Revenue (1+2)</t>
  </si>
  <si>
    <t>Addition</t>
  </si>
  <si>
    <t>Rep</t>
  </si>
  <si>
    <t xml:space="preserve">Surplus </t>
  </si>
  <si>
    <t>General Reserves</t>
  </si>
  <si>
    <t xml:space="preserve">Capital Reserves </t>
  </si>
  <si>
    <t>Other Reserves</t>
  </si>
  <si>
    <t>Opening Balance as per Profit &amp; Loss Account</t>
  </si>
  <si>
    <t>Date of Maturity of Loan</t>
  </si>
  <si>
    <t>Date of Availment of Loan</t>
  </si>
  <si>
    <t>Capital work-in-progress</t>
  </si>
  <si>
    <t>Repairs &amp; maintenance</t>
  </si>
  <si>
    <t>Other income</t>
  </si>
  <si>
    <t>Deferred tax</t>
  </si>
  <si>
    <t>Current Maturities of Long term borrowings i.e. other Current Liabilites</t>
  </si>
  <si>
    <t>Non Current Liabilities - Long Term Borrowings</t>
  </si>
  <si>
    <t>Total Long Term Borrowings</t>
  </si>
  <si>
    <t>(C)=(A)-(B)</t>
  </si>
  <si>
    <t>Add : Addition during the year</t>
  </si>
  <si>
    <t>Less : Utilized/transferred during the year</t>
  </si>
  <si>
    <t>i)    Interim dividend paid</t>
  </si>
  <si>
    <t>ii)   Proposed dividend</t>
  </si>
  <si>
    <t>iii) Transfer to Reserve</t>
  </si>
  <si>
    <t>Add :Net Profit/(Loss) after tax for the current year</t>
  </si>
  <si>
    <t xml:space="preserve">Significant accounting policies </t>
  </si>
  <si>
    <t>(Net Income)/ Expenditure</t>
  </si>
  <si>
    <t>Money received against share warrants</t>
  </si>
  <si>
    <t>Unsecured loans</t>
  </si>
  <si>
    <t>Other long-term liabilities</t>
  </si>
  <si>
    <t>Trade payables</t>
  </si>
  <si>
    <t>Other current liabilities</t>
  </si>
  <si>
    <t>Non current assets</t>
  </si>
  <si>
    <t>Fixed assets</t>
  </si>
  <si>
    <t>Tangible assets</t>
  </si>
  <si>
    <t>Non-current investments</t>
  </si>
  <si>
    <t>Current assets</t>
  </si>
  <si>
    <t>Current investments</t>
  </si>
  <si>
    <t>Trade receivables</t>
  </si>
  <si>
    <t>Other current assets</t>
  </si>
  <si>
    <t>Share Capital</t>
  </si>
  <si>
    <t xml:space="preserve">Share Capital pending allotment </t>
  </si>
  <si>
    <t>Non-Current liabilities</t>
  </si>
  <si>
    <t>Deferred tax liabilities (Net)</t>
  </si>
  <si>
    <t>Current Liabilities</t>
  </si>
  <si>
    <t>Short-term borrowings</t>
  </si>
  <si>
    <t>Deferred tax assets (Net)</t>
  </si>
  <si>
    <t>Employee benefit expenses</t>
  </si>
  <si>
    <t>Finance costs</t>
  </si>
  <si>
    <t>Depreciation &amp; amortization expenses</t>
  </si>
  <si>
    <t>Other expenses</t>
  </si>
  <si>
    <t>Administration &amp; General expense</t>
  </si>
  <si>
    <t>Total expenes</t>
  </si>
  <si>
    <t>Tax expense</t>
  </si>
  <si>
    <t>Current tax</t>
  </si>
  <si>
    <t>Earnings per equity share (Rs.)</t>
  </si>
  <si>
    <t>Expenditure</t>
  </si>
  <si>
    <t>Receipt</t>
  </si>
  <si>
    <t>Cash Flow from investing activities</t>
  </si>
  <si>
    <t>Cash Flow from financing activities</t>
  </si>
  <si>
    <t>Net Increase/(Decrease) in cash and cash equivalents (A+B+C)</t>
  </si>
  <si>
    <t>Cash and cash equivalents at the beginning of the year</t>
  </si>
  <si>
    <t>Cash and cash equivalents at the end of the year</t>
  </si>
  <si>
    <t>Profit/(Loss) before tax (3-4)</t>
  </si>
  <si>
    <t>Profit /(Loss) after tax from continuing operations (5-6)</t>
  </si>
  <si>
    <t>Shareholders' Funds</t>
  </si>
  <si>
    <t>Long-term borrowings</t>
  </si>
  <si>
    <t>Secured loans</t>
  </si>
  <si>
    <t>Note 3: Share Capital</t>
  </si>
  <si>
    <t>Note 4: Reserves &amp; Surplus</t>
  </si>
  <si>
    <t>Note 5: Long Term Borrowings</t>
  </si>
  <si>
    <t>Note 5.1 - Secured Loans</t>
  </si>
  <si>
    <t>Note 5.2 - Unsecured Loans</t>
  </si>
  <si>
    <t>Note 6: Other Long Term Liabilities</t>
  </si>
  <si>
    <t>Note 7: Long Term Provisions</t>
  </si>
  <si>
    <t>Note 8: Short Term Borrowings</t>
  </si>
  <si>
    <t>Note 10: Short Term Provisions</t>
  </si>
  <si>
    <t xml:space="preserve">Note 11: Tangible Assets </t>
  </si>
  <si>
    <t>Note 12: Capital Work in Progress</t>
  </si>
  <si>
    <t>Cash Flow Statement</t>
  </si>
  <si>
    <t>Cash &amp; cash equivalents</t>
  </si>
  <si>
    <t>Note 13: Long Term Loans &amp; Advances</t>
  </si>
  <si>
    <t>Note 14: Other Non Current Assets</t>
  </si>
  <si>
    <t>Note 15: Inventories</t>
  </si>
  <si>
    <t>Note 16: Trade Receivables</t>
  </si>
  <si>
    <t>Note 17: Cash &amp; Cash equivalents</t>
  </si>
  <si>
    <t>Note 18: Short Term Loans &amp; Advances</t>
  </si>
  <si>
    <t>Note 19: Other Current Assets</t>
  </si>
  <si>
    <t>Note 20: Revenue from Operations</t>
  </si>
  <si>
    <t>Note 21: Other Income</t>
  </si>
  <si>
    <t>Note 28: Other Debits</t>
  </si>
  <si>
    <t>Note 29: Tax Expense - Income Tax/Deferred Tax</t>
  </si>
  <si>
    <t>Note 30: Prior Period Items</t>
  </si>
  <si>
    <t>Figures as at the end of current reporting period</t>
  </si>
  <si>
    <t>Figures as at the end of previous reporting period</t>
  </si>
  <si>
    <t>Note 18.1 - Details of Short Term Loans &amp; Advances:-</t>
  </si>
  <si>
    <t xml:space="preserve">As at </t>
  </si>
  <si>
    <t xml:space="preserve">Addition/ Disposal during the year </t>
  </si>
  <si>
    <t xml:space="preserve">Depreciation during the year </t>
  </si>
  <si>
    <t>….</t>
  </si>
  <si>
    <t xml:space="preserve">Balance Sheet </t>
  </si>
  <si>
    <t>Note 9 - Other Current Liabilities</t>
  </si>
  <si>
    <t>any other</t>
  </si>
  <si>
    <t>Note 23: Employee benefits expenses</t>
  </si>
  <si>
    <t>Note 24: Finance Costs</t>
  </si>
  <si>
    <t>Note 25: Depreciation &amp; Amortization Expenses</t>
  </si>
  <si>
    <t>Note 26: Repair &amp; Maintenance</t>
  </si>
  <si>
    <t>The accompaning Notes are an integral part of financial statements</t>
  </si>
  <si>
    <t>(a) Non-Tariff Income</t>
  </si>
  <si>
    <t>(b) Others (specify)</t>
  </si>
  <si>
    <t>Note 21.2: Others</t>
  </si>
  <si>
    <t>Note 21.1: Non-Tariff Income</t>
  </si>
  <si>
    <t>Balance Sheet</t>
  </si>
  <si>
    <t>(in Rupees)</t>
  </si>
  <si>
    <t>Profit and Loss Account</t>
  </si>
  <si>
    <t>Note 22: Cost of Material Consumed/Fuel Cost</t>
  </si>
  <si>
    <t>*For Generation &amp; Distribution</t>
  </si>
  <si>
    <t>**For Distribution</t>
  </si>
  <si>
    <t>Net Profit/(Loss) before tax as per statement of profit and loss account</t>
  </si>
  <si>
    <t>Adjustment for:</t>
  </si>
  <si>
    <t>Depreciation</t>
  </si>
  <si>
    <t>Interest and Finance charges</t>
  </si>
  <si>
    <t>Appropriation to Reserves &amp; Surplus</t>
  </si>
  <si>
    <t>Provision for stocks, bad &amp; doubtful debts and loss for investigation</t>
  </si>
  <si>
    <t>Provision for Terminal benefits</t>
  </si>
  <si>
    <t>iv</t>
  </si>
  <si>
    <t>iii</t>
  </si>
  <si>
    <t>…</t>
  </si>
  <si>
    <t>Operating Profit/(Loss) before working capital changes</t>
  </si>
  <si>
    <t>Adjustment for working capital changes:</t>
  </si>
  <si>
    <t>Current Assets</t>
  </si>
  <si>
    <t xml:space="preserve">(Increase)/Decrease in Inventories </t>
  </si>
  <si>
    <t>(Increase)/Decrease in Trade receivables</t>
  </si>
  <si>
    <t>(Increase)/Decrease in Short-term loans &amp; advances</t>
  </si>
  <si>
    <t>(Increase)/Decrease in Long-term loans &amp; advances</t>
  </si>
  <si>
    <t>v</t>
  </si>
  <si>
    <t>(Increase)/Decrease in Other current assets</t>
  </si>
  <si>
    <t>vi</t>
  </si>
  <si>
    <t>(Increase)/Decrease in Other non-current assets</t>
  </si>
  <si>
    <t>Current liabilities:</t>
  </si>
  <si>
    <t>Increase/(Decrease) in Other current liabilities</t>
  </si>
  <si>
    <t>Increase/(Decrease) in Other long-term liabilities</t>
  </si>
  <si>
    <t xml:space="preserve">Net working capital change </t>
  </si>
  <si>
    <t>Cash generated from operations</t>
  </si>
  <si>
    <t>Income tax paid</t>
  </si>
  <si>
    <t>Net Cash from operating activities</t>
  </si>
  <si>
    <t>Net addition of fixed assets</t>
  </si>
  <si>
    <t>Net Cash used in investing activities</t>
  </si>
  <si>
    <t>Proceeds from issue of Share Capital</t>
  </si>
  <si>
    <t>Change in long-term borrowings - secured loans</t>
  </si>
  <si>
    <t>Change in long-term borrowings - unsecured loans</t>
  </si>
  <si>
    <t>Change in short-term borrowings</t>
  </si>
  <si>
    <t>Interest paid</t>
  </si>
  <si>
    <t>Net Cash from financing activities</t>
  </si>
  <si>
    <t>Provision for Gratuity</t>
  </si>
  <si>
    <t>Provision for  Leave encashment</t>
  </si>
  <si>
    <t>Liability for Capital supplies/works</t>
  </si>
  <si>
    <t>Liability for supply of Material - O&amp;M</t>
  </si>
  <si>
    <t>Staff related liabilities &amp; provisions</t>
  </si>
  <si>
    <t xml:space="preserve">Liability for expenses </t>
  </si>
  <si>
    <t xml:space="preserve">Interest accrued but not due on borrowings </t>
  </si>
  <si>
    <t>GPF Liabilities</t>
  </si>
  <si>
    <t>Provision for Income Tax</t>
  </si>
  <si>
    <t>Land and land rights</t>
  </si>
  <si>
    <t>Buildings</t>
  </si>
  <si>
    <t>Other civil works</t>
  </si>
  <si>
    <t>Plant and Machinery</t>
  </si>
  <si>
    <t>Line and cable net works</t>
  </si>
  <si>
    <t>Vehicles</t>
  </si>
  <si>
    <t>Furniture and fixture</t>
  </si>
  <si>
    <t>Office Equipment</t>
  </si>
  <si>
    <t>Capital works in progress</t>
  </si>
  <si>
    <t>Contracts in progress :</t>
  </si>
  <si>
    <t>Advances to Suppliers/ Contractors (capital) - being issue of material for works</t>
  </si>
  <si>
    <t>Other receivables</t>
  </si>
  <si>
    <t>Less : Provision for bad &amp; doubtful debts</t>
  </si>
  <si>
    <t>Net Other Receivables</t>
  </si>
  <si>
    <t>Stores &amp; Spares</t>
  </si>
  <si>
    <t xml:space="preserve">Less: Provisions for </t>
  </si>
  <si>
    <t>Difference in value of stock &amp; spares</t>
  </si>
  <si>
    <t>Value of obsolete items</t>
  </si>
  <si>
    <t>Value of unservicable items</t>
  </si>
  <si>
    <t>Total Provisions</t>
  </si>
  <si>
    <t>Net</t>
  </si>
  <si>
    <t>Note 22.1: Cost of Power Purchase</t>
  </si>
  <si>
    <t>Salaries</t>
  </si>
  <si>
    <t>Overtime</t>
  </si>
  <si>
    <t>Dearness Allowance</t>
  </si>
  <si>
    <t>Other Allowances</t>
  </si>
  <si>
    <t>Bonus</t>
  </si>
  <si>
    <t>Total (A)</t>
  </si>
  <si>
    <t>Medical expenses reimbursement</t>
  </si>
  <si>
    <t>Leave Travel Assistance/Concession</t>
  </si>
  <si>
    <t>Payment under Workmen Compensation Act</t>
  </si>
  <si>
    <t>Total (B)</t>
  </si>
  <si>
    <t>Staff Welfare Expenses</t>
  </si>
  <si>
    <t>Electricity Concession to Employees</t>
  </si>
  <si>
    <t>Total (C)</t>
  </si>
  <si>
    <t>Terminal Benefits</t>
  </si>
  <si>
    <t>Total (D)</t>
  </si>
  <si>
    <t>Grand Total(A+B+C+D)</t>
  </si>
  <si>
    <t>Less :</t>
  </si>
  <si>
    <t>Add : Prior period expenses/losses</t>
  </si>
  <si>
    <t>Net Total</t>
  </si>
  <si>
    <t>Interest on Loans</t>
  </si>
  <si>
    <t>Other interest &amp; finance charges</t>
  </si>
  <si>
    <t>Depreciation on :</t>
  </si>
  <si>
    <t>Civil Works</t>
  </si>
  <si>
    <t>Plant &amp; Machinery</t>
  </si>
  <si>
    <t>Lines &amp; Cables</t>
  </si>
  <si>
    <t>Furniture &amp; Fixtures</t>
  </si>
  <si>
    <t>Less</t>
  </si>
  <si>
    <t>Rent, Rates &amp; Taxes</t>
  </si>
  <si>
    <t>Insurance</t>
  </si>
  <si>
    <t xml:space="preserve">Less:  </t>
  </si>
  <si>
    <t>Total (i+ii)</t>
  </si>
  <si>
    <t>Add: Prior Period expenses/losses</t>
  </si>
  <si>
    <t>Note 27.1: Administration &amp; General Expenses</t>
  </si>
  <si>
    <t>As an Auditor</t>
  </si>
  <si>
    <t>i)</t>
  </si>
  <si>
    <t xml:space="preserve">Tax Audit Fee </t>
  </si>
  <si>
    <t>ii)</t>
  </si>
  <si>
    <t xml:space="preserve">Statutory Audit Fees </t>
  </si>
  <si>
    <t>iii)</t>
  </si>
  <si>
    <t xml:space="preserve">Out of Pocket Expenses </t>
  </si>
  <si>
    <t>Note 27.2 - Administration &amp; General Expenses - Details of remuneration to Statutory Auditors (excluding Service Tax)</t>
  </si>
  <si>
    <t>Amounts provided for</t>
  </si>
  <si>
    <t xml:space="preserve">Value of obsolete stores </t>
  </si>
  <si>
    <t xml:space="preserve">Value of unserviceable stores </t>
  </si>
  <si>
    <t>Bad &amp; doubtful debts</t>
  </si>
  <si>
    <t>Losses under investigation</t>
  </si>
  <si>
    <t xml:space="preserve">Loss on sale of fixed assets </t>
  </si>
  <si>
    <t>Miscellaneous losses &amp; write off</t>
  </si>
  <si>
    <t>Employee cost</t>
  </si>
  <si>
    <t>Finance cost</t>
  </si>
  <si>
    <t>Depreciation cost</t>
  </si>
  <si>
    <t>Repair &amp; Maintenance cost</t>
  </si>
  <si>
    <t>A&amp;G cost</t>
  </si>
  <si>
    <t>Accounting Statement Formats - G,T,D</t>
  </si>
  <si>
    <t>Balances at bank</t>
  </si>
  <si>
    <t>Cash on hand</t>
  </si>
  <si>
    <t>Outstanding for more than six months from due date</t>
  </si>
  <si>
    <t>Secured, Considered good</t>
  </si>
  <si>
    <t>Unsecured, Considered good</t>
  </si>
  <si>
    <t>Doubtful</t>
  </si>
  <si>
    <t>Other Debts</t>
  </si>
  <si>
    <t>Security Deposits</t>
  </si>
  <si>
    <t>Capital Advances</t>
  </si>
  <si>
    <t>Less:- Provision for Doubtful Debts</t>
  </si>
  <si>
    <t>Others</t>
  </si>
  <si>
    <t>Trade Payables</t>
  </si>
  <si>
    <t>Loan repayable on demand from banks</t>
  </si>
  <si>
    <t>Current Maturities of Long Term Debt</t>
  </si>
  <si>
    <t>Interest accrued and due on borrowings</t>
  </si>
  <si>
    <t>Other Payables</t>
  </si>
  <si>
    <t>(v)</t>
  </si>
  <si>
    <t>(vi)</t>
  </si>
  <si>
    <t>Secured, considered good</t>
  </si>
  <si>
    <t>Unsecured, considered good</t>
  </si>
  <si>
    <t>Interest Income</t>
  </si>
  <si>
    <t>Other Non-operating income</t>
  </si>
  <si>
    <t>Cost of material consumed/Fuel Cost</t>
  </si>
  <si>
    <t>(a)*</t>
  </si>
  <si>
    <t>(b)**</t>
  </si>
  <si>
    <t>Cost of Power Purchase</t>
  </si>
  <si>
    <t>To be submitted for each Year for which Truing Up is being sought</t>
  </si>
  <si>
    <t>Repayment</t>
  </si>
  <si>
    <t>Balance sheet</t>
  </si>
  <si>
    <t>Profit loss</t>
  </si>
  <si>
    <t>CashFlow</t>
  </si>
  <si>
    <t>S.No.</t>
  </si>
  <si>
    <t>Title</t>
  </si>
  <si>
    <t>Reference</t>
  </si>
  <si>
    <t>Profit Loss</t>
  </si>
  <si>
    <t>Cash Flow</t>
  </si>
  <si>
    <t>Reserves and Surplus</t>
  </si>
  <si>
    <t>Secured Loans</t>
  </si>
  <si>
    <t>Unsecured Loans</t>
  </si>
  <si>
    <t>Other Long Term Liabilities &amp; Long Term Provisions</t>
  </si>
  <si>
    <t>Short Term Borrowings</t>
  </si>
  <si>
    <t>Other Current Liabilities</t>
  </si>
  <si>
    <t>Short Term Provisions</t>
  </si>
  <si>
    <t>Tangible Assets</t>
  </si>
  <si>
    <t>Capital Works in Progress</t>
  </si>
  <si>
    <t>Long Term Loans &amp; Advances</t>
  </si>
  <si>
    <t>Other Non Current Assets</t>
  </si>
  <si>
    <t>Trade Receivables and Cash &amp; Cash Equivalents</t>
  </si>
  <si>
    <t>Short Term Loans and Advances</t>
  </si>
  <si>
    <t>Other Current Assets</t>
  </si>
  <si>
    <t>Revenue from Operation &amp; Other Income</t>
  </si>
  <si>
    <t>Cost of Material Consumed &amp; Cost of Power Purchase</t>
  </si>
  <si>
    <t>Repair &amp; Maintenance</t>
  </si>
  <si>
    <t>Administrative &amp; General Expenses</t>
  </si>
  <si>
    <t>Other Debit &amp; Tax Expense</t>
  </si>
  <si>
    <t>Prior Period Items</t>
  </si>
  <si>
    <t>Employee Benefit Expenses</t>
  </si>
  <si>
    <t>Finance Cost and Depreciation &amp; Amortization Expenses</t>
  </si>
  <si>
    <t>Note 3</t>
  </si>
  <si>
    <t>Note 4</t>
  </si>
  <si>
    <t>Note 5.1</t>
  </si>
  <si>
    <t>Note 5.2</t>
  </si>
  <si>
    <t>Notes 6 &amp; 7</t>
  </si>
  <si>
    <t>Note 8</t>
  </si>
  <si>
    <t>Note 9</t>
  </si>
  <si>
    <t>Note 10</t>
  </si>
  <si>
    <t>Note 11</t>
  </si>
  <si>
    <t>Note 12</t>
  </si>
  <si>
    <t>Note 13</t>
  </si>
  <si>
    <t>Note 14</t>
  </si>
  <si>
    <t>Note 15</t>
  </si>
  <si>
    <t>Notes 16 &amp; 17</t>
  </si>
  <si>
    <t>Note 18</t>
  </si>
  <si>
    <t>Note 19</t>
  </si>
  <si>
    <t>Notes 20 &amp; 21</t>
  </si>
  <si>
    <t>Notes 22 &amp; 22.1</t>
  </si>
  <si>
    <t>Note 23</t>
  </si>
  <si>
    <t>Notes 24 &amp; 25</t>
  </si>
  <si>
    <t>Note 26</t>
  </si>
  <si>
    <t>Note 27</t>
  </si>
  <si>
    <t>Notes 28 &amp; 29</t>
  </si>
  <si>
    <t>Note 30</t>
  </si>
  <si>
    <t>&lt;Name of the Generating Company /Transmission Licensee/Distribution Licensee/MSLDC &gt;</t>
  </si>
  <si>
    <t>Note</t>
  </si>
  <si>
    <t>Note:</t>
  </si>
  <si>
    <r>
      <rPr>
        <b/>
        <sz val="11"/>
        <rFont val="Times New Roman"/>
        <family val="1"/>
      </rPr>
      <t>Note</t>
    </r>
    <r>
      <rPr>
        <sz val="11"/>
        <rFont val="Times New Roman"/>
        <family val="1"/>
      </rPr>
      <t>:</t>
    </r>
  </si>
  <si>
    <r>
      <t xml:space="preserve">Note: </t>
    </r>
    <r>
      <rPr>
        <sz val="11"/>
        <rFont val="Times New Roman"/>
        <family val="1"/>
      </rPr>
      <t>To be submitted for each Year for which Truing Up is being sought</t>
    </r>
  </si>
  <si>
    <t xml:space="preserve">Note: </t>
  </si>
  <si>
    <t>MAHARASHTRA STATE POWER GENERATION COMPANY LIMITED [CIN -U40100MH2005SGC153648]</t>
  </si>
  <si>
    <t xml:space="preserve">           </t>
  </si>
  <si>
    <t xml:space="preserve"> Balance Sheet as on 31st March 2024</t>
  </si>
  <si>
    <t xml:space="preserve"> (Standalone)</t>
  </si>
  <si>
    <r>
      <t>(</t>
    </r>
    <r>
      <rPr>
        <sz val="11"/>
        <color indexed="8"/>
        <rFont val="Arial"/>
        <family val="2"/>
      </rPr>
      <t>Rs. Crores)</t>
    </r>
  </si>
  <si>
    <t>Notes</t>
  </si>
  <si>
    <t>31.03.2024</t>
  </si>
  <si>
    <t>31.03.2023 (RESTATED)</t>
  </si>
  <si>
    <t>01.04.2022</t>
  </si>
  <si>
    <t>ASSETS</t>
  </si>
  <si>
    <t>Non-Current Assets</t>
  </si>
  <si>
    <t xml:space="preserve">    Property, Plant &amp; Equipment</t>
  </si>
  <si>
    <t>Depreciation for the year</t>
  </si>
  <si>
    <t xml:space="preserve">    Capital work in progress</t>
  </si>
  <si>
    <t xml:space="preserve">    Right to use assets</t>
  </si>
  <si>
    <t>1A</t>
  </si>
  <si>
    <t xml:space="preserve">    Intangible assets</t>
  </si>
  <si>
    <t>1B</t>
  </si>
  <si>
    <t xml:space="preserve">    Intangible assets under development</t>
  </si>
  <si>
    <t xml:space="preserve">    Financial Assets</t>
  </si>
  <si>
    <t xml:space="preserve">        - Investment in subsidiaries and associates</t>
  </si>
  <si>
    <t xml:space="preserve">        - Bank Deposits with more than 12 months maturity</t>
  </si>
  <si>
    <t>3A</t>
  </si>
  <si>
    <t xml:space="preserve">        - Trade receivables  </t>
  </si>
  <si>
    <t>3B</t>
  </si>
  <si>
    <t xml:space="preserve">    Net Deferred tax Assets</t>
  </si>
  <si>
    <t xml:space="preserve">    Other non-current assets</t>
  </si>
  <si>
    <t>Rise on account of Deferred Lease Rent of Hydro Power Station by Rs. 62 Crores</t>
  </si>
  <si>
    <t xml:space="preserve">   Total Non Current Assets</t>
  </si>
  <si>
    <t xml:space="preserve">    Inventories</t>
  </si>
  <si>
    <t>Reduction in Coal Inventories by Rs. 450 Croresand Stores &amp; Spares by Rs. 45 Crores</t>
  </si>
  <si>
    <t xml:space="preserve">          - Trade receivables  </t>
  </si>
  <si>
    <t>Rise in Revenue</t>
  </si>
  <si>
    <t xml:space="preserve">          - Cash and cash equivalents</t>
  </si>
  <si>
    <t xml:space="preserve">          - Loans</t>
  </si>
  <si>
    <t>Receivable from CPF Trust has been reduced.</t>
  </si>
  <si>
    <t xml:space="preserve">          - Other financial assets</t>
  </si>
  <si>
    <t xml:space="preserve">    Other current assets</t>
  </si>
  <si>
    <t>Clearance of Advance to coal companies &amp; Railway against the oustanding Liabilities</t>
  </si>
  <si>
    <t xml:space="preserve">  Total Current Assets</t>
  </si>
  <si>
    <t>Other asset</t>
  </si>
  <si>
    <t xml:space="preserve">    Assets classified as held for sale / disposal</t>
  </si>
  <si>
    <t>1C</t>
  </si>
  <si>
    <t>Vintage units Assets at Koradi TPS has been sold out</t>
  </si>
  <si>
    <t xml:space="preserve">  Total Other Assets</t>
  </si>
  <si>
    <t>TOTAL ASSETS</t>
  </si>
  <si>
    <t>EQUITY AND LIABILITIES</t>
  </si>
  <si>
    <t>Equity</t>
  </si>
  <si>
    <t xml:space="preserve">    Equity Share capital</t>
  </si>
  <si>
    <t>Equity allotment during the year</t>
  </si>
  <si>
    <t xml:space="preserve">    Other Equity</t>
  </si>
  <si>
    <t>Shares are issued during the year aginst the share application money pending allotment</t>
  </si>
  <si>
    <t>Total Equity attributable to Mahagenco</t>
  </si>
  <si>
    <t>Controlling interest other than Mahagenco</t>
  </si>
  <si>
    <t>Total Equity</t>
  </si>
  <si>
    <t>Liabilities</t>
  </si>
  <si>
    <t>Non Current Liabilities</t>
  </si>
  <si>
    <t xml:space="preserve">    Financial liabilities</t>
  </si>
  <si>
    <t xml:space="preserve">          - Borrowings</t>
  </si>
  <si>
    <t>Repayment of commissioned projects</t>
  </si>
  <si>
    <t xml:space="preserve">          - Lease liabilities</t>
  </si>
  <si>
    <t xml:space="preserve">    Provisions</t>
  </si>
  <si>
    <t xml:space="preserve">    Net Deferred tax liabilities</t>
  </si>
  <si>
    <t>Reduction on account of Deferred Tax Assets recognised on Investment allowance.</t>
  </si>
  <si>
    <t xml:space="preserve">    Other non-current liabilities</t>
  </si>
  <si>
    <t>Total Non Current Liabilities</t>
  </si>
  <si>
    <t>Short Term Loan has been repaid.</t>
  </si>
  <si>
    <t xml:space="preserve">          - Trade payables - MSME</t>
  </si>
  <si>
    <t xml:space="preserve">          - Trade payables - Other than MSME</t>
  </si>
  <si>
    <t xml:space="preserve">          - Other financial liabilities</t>
  </si>
  <si>
    <t>Partial Repayment for Long Term Loans of commissioned projects in previous year, now for the entire year.</t>
  </si>
  <si>
    <t xml:space="preserve">    Other current liabilities</t>
  </si>
  <si>
    <t>Rise in Provisions for Leave encahsment &amp; Gartuity as per Actuary.</t>
  </si>
  <si>
    <t>Total Current Liabilities</t>
  </si>
  <si>
    <t>TOTAL EQUITY AND LIABILITIES</t>
  </si>
  <si>
    <t>Significant accounting policies and  notes 1 to 50 form an integral part of these financial statements.</t>
  </si>
  <si>
    <t>As per our report attached</t>
  </si>
  <si>
    <t>For Ummed Jain &amp; Co.</t>
  </si>
  <si>
    <t>For Maharashtra State Power Generation Co. Ltd.</t>
  </si>
  <si>
    <t>Chartered Accountants</t>
  </si>
  <si>
    <t>(FRN  -119250W)</t>
  </si>
  <si>
    <t>(CA U. M. Jain)</t>
  </si>
  <si>
    <t>Partner (ICAI M No. 070863)</t>
  </si>
  <si>
    <t>Balasaheb Thite</t>
  </si>
  <si>
    <t>Dr.P. Anbalagan</t>
  </si>
  <si>
    <t>Advances break up</t>
  </si>
  <si>
    <t>Director (Finance) &amp; CFO</t>
  </si>
  <si>
    <t>Chairman &amp; Managing Director</t>
  </si>
  <si>
    <t>Prov for BDD</t>
  </si>
  <si>
    <t>For Shah and Taparia</t>
  </si>
  <si>
    <t xml:space="preserve"> DIN No.08923676</t>
  </si>
  <si>
    <t>DIN No.05117747</t>
  </si>
  <si>
    <t>Current - noncurrent</t>
  </si>
  <si>
    <t>OCI details</t>
  </si>
  <si>
    <t>(FRN  - 109463W )</t>
  </si>
  <si>
    <t>Def Tax</t>
  </si>
  <si>
    <t>FA Schedule</t>
  </si>
  <si>
    <t>(CA Bharat Ramesh Joshi)</t>
  </si>
  <si>
    <t>Vishwanath Kulkarni</t>
  </si>
  <si>
    <t>Rahul Dubey</t>
  </si>
  <si>
    <t>Prov for obs on FA</t>
  </si>
  <si>
    <t>Partner (ICAI M No. 130863)</t>
  </si>
  <si>
    <t>Chief General Manager (A/c)</t>
  </si>
  <si>
    <t>Company Secretary</t>
  </si>
  <si>
    <t>MSME payable</t>
  </si>
  <si>
    <r>
      <t>Mumbai, 20</t>
    </r>
    <r>
      <rPr>
        <vertAlign val="superscript"/>
        <sz val="10"/>
        <rFont val="Arial"/>
        <family val="2"/>
      </rPr>
      <t>th</t>
    </r>
    <r>
      <rPr>
        <sz val="10"/>
        <rFont val="Arial"/>
        <family val="2"/>
      </rPr>
      <t xml:space="preserve"> September, 2024</t>
    </r>
  </si>
  <si>
    <t>M No. A14213</t>
  </si>
  <si>
    <t>EPS Calulation</t>
  </si>
  <si>
    <t>Statement of Profit and Loss for the year ended 31st March, 2024</t>
  </si>
  <si>
    <t>(Standalone)</t>
  </si>
  <si>
    <r>
      <t>(</t>
    </r>
    <r>
      <rPr>
        <sz val="11"/>
        <rFont val="Arial"/>
        <family val="2"/>
      </rPr>
      <t>Rs. Crores)</t>
    </r>
  </si>
  <si>
    <t xml:space="preserve">2023-24 </t>
  </si>
  <si>
    <t>2022-23 (RESTATED)</t>
  </si>
  <si>
    <t>Income</t>
  </si>
  <si>
    <t xml:space="preserve">    Sale of power </t>
  </si>
  <si>
    <t>Net Generation  53991 MUs (PY 50172 Mus)</t>
  </si>
  <si>
    <t xml:space="preserve">    Other operating revenues</t>
  </si>
  <si>
    <t>Surcharge reduction, Reject Coal Rs. 43 Crs., IPP coal sale Rs. 181 Crs</t>
  </si>
  <si>
    <t>Koradi scrap 62, DSM 48, LD 52, Reduction in obsol 54</t>
  </si>
  <si>
    <t>Total Income</t>
  </si>
  <si>
    <t>Cost of materials consumed</t>
  </si>
  <si>
    <t xml:space="preserve">Generation up, washed coal handling 490,oil 192,  gas 74, </t>
  </si>
  <si>
    <t>Power Purchased</t>
  </si>
  <si>
    <t>25A</t>
  </si>
  <si>
    <t>Employee benefits expense</t>
  </si>
  <si>
    <t>Salary 90(DA rise 12%), Grat &amp; LE 80, PF contribution 52</t>
  </si>
  <si>
    <t xml:space="preserve">Interest on LTL reduced 316, on STL 205 increased </t>
  </si>
  <si>
    <t>Depreciation &amp; amortization expense</t>
  </si>
  <si>
    <t>1,1A &amp;1B</t>
  </si>
  <si>
    <t>Railway LHS Kpkd Rs. 28 crs, CSTPS civil assets Rs. 17 Crs.</t>
  </si>
  <si>
    <t>Provision against MSEDCL receivables 11,222 &amp; R&amp;M+admin</t>
  </si>
  <si>
    <t>Total Expenses</t>
  </si>
  <si>
    <t>Profit before share of profit of associates, exceptional item and tax</t>
  </si>
  <si>
    <t>Share of profit in associates</t>
  </si>
  <si>
    <t>Profit / (loss) before exceptional item and tax</t>
  </si>
  <si>
    <t>Less : Exceptional item</t>
  </si>
  <si>
    <t>Profit/(loss) Before Tax</t>
  </si>
  <si>
    <t>Tax expense:</t>
  </si>
  <si>
    <t>Current tax on P&amp;L Items</t>
  </si>
  <si>
    <t>Current tax on OCI Items</t>
  </si>
  <si>
    <t>Deferred tax Expense/(Gain)</t>
  </si>
  <si>
    <t>Total Tax Expenses</t>
  </si>
  <si>
    <t>Profit/(loss) for the period</t>
  </si>
  <si>
    <t>Other Comprehensive Income</t>
  </si>
  <si>
    <t>Items that will not be reclassified to profit or loss:</t>
  </si>
  <si>
    <t xml:space="preserve">    Remeasurements of the defined benefit plans</t>
  </si>
  <si>
    <t xml:space="preserve">    Deferred Tax expense on OCI items Expense/(Gain)</t>
  </si>
  <si>
    <t>Other Comprehensive Income for the period (net of tax)</t>
  </si>
  <si>
    <t>Total Comprehensive Income for the period, net of tax</t>
  </si>
  <si>
    <t>Attributable to:</t>
  </si>
  <si>
    <t>To be hide while printing Standalone Statements</t>
  </si>
  <si>
    <t>Owners of the Company</t>
  </si>
  <si>
    <t>Non-controlling interests</t>
  </si>
  <si>
    <t>Profit for the year</t>
  </si>
  <si>
    <t>Other comprehensive income Attributable to:</t>
  </si>
  <si>
    <t>Other comprehensive income</t>
  </si>
  <si>
    <t>Total comprehensive income Attributable to:</t>
  </si>
  <si>
    <t>Total comprehensive income</t>
  </si>
  <si>
    <t>Earning per share [Basic] (Rs. 10 per Share)</t>
  </si>
  <si>
    <t>Earning per share [Diluted ] (Rs.10 per share)</t>
  </si>
  <si>
    <t>PBT</t>
  </si>
  <si>
    <t>Tax</t>
  </si>
  <si>
    <t>Tally?</t>
  </si>
  <si>
    <t>Notes to the Financial Statements as at 31st March, 2024</t>
  </si>
  <si>
    <t>(Rs. Crores)</t>
  </si>
  <si>
    <t>Non-Current, Long Term, Investment in Subsidiaries, Joint Ventures and Associates</t>
  </si>
  <si>
    <t>Investments in equity instruments at  cost less impairment</t>
  </si>
  <si>
    <t>Un - Quoted</t>
  </si>
  <si>
    <t>MAHAGENCO Renewable Energy LTD (formerly Mahagenco ASH Management Services LTD) - 100% owned</t>
  </si>
  <si>
    <t>50,000 (P.Y. 50,000) Equity shares  of Rs 10 each fully paid up</t>
  </si>
  <si>
    <t>Quasi Equity investment</t>
  </si>
  <si>
    <t>Dhopave Coastal Power Limited</t>
  </si>
  <si>
    <t>UCM Coal Company.</t>
  </si>
  <si>
    <t>Mahaguj Colleries Limited</t>
  </si>
  <si>
    <t>Dhopave coastal power company limited -100% owned</t>
  </si>
  <si>
    <t>50,000 (P.Y. 50,000) Equity shares of Rs 10 each fully paid up</t>
  </si>
  <si>
    <t>Total C</t>
  </si>
  <si>
    <t>Less : Allowance for Expected Credit Loss &amp; impairment in the value of investment</t>
  </si>
  <si>
    <t>UCM coal company limited - 18.75% owned</t>
  </si>
  <si>
    <t>30,000 (P.Y. 30,000) Equity shares of Rs 10 each fully paid up</t>
  </si>
  <si>
    <t>Mahaguj colliery limited- 60% owned</t>
  </si>
  <si>
    <t>30,000(P.Y. 30,000) Equity shares of Rs 10 each fully paid up</t>
  </si>
  <si>
    <t>Chhattisgarh Katghoara Dongargarh Railway Limited - 26% owned</t>
  </si>
  <si>
    <t>5,20,000 Equity shares of Rs 10 each fully paid up</t>
  </si>
  <si>
    <t>Grand Total</t>
  </si>
  <si>
    <t>Non Current Assets-Bank Deposits with more than 12 months maturity</t>
  </si>
  <si>
    <t>Bank Deposits with more than 12 months maturity</t>
  </si>
  <si>
    <t>Non Current Assets-Trade Receivables</t>
  </si>
  <si>
    <t>Trade Receivables</t>
  </si>
  <si>
    <t>Less:- Allowance for Expected Credit Loss</t>
  </si>
  <si>
    <t>Other Non-Current Assets</t>
  </si>
  <si>
    <t>Advances for O&amp;M Supplies/ recoverables</t>
  </si>
  <si>
    <t>Advances for fuel supplies/Others</t>
  </si>
  <si>
    <t>Advance to Irrigation Department Government of Maharashtra</t>
  </si>
  <si>
    <t>Income Tax Refundable (net of provisions)</t>
  </si>
  <si>
    <t>Staff Advance</t>
  </si>
  <si>
    <t>Expenditure to be amortised</t>
  </si>
  <si>
    <t>Capital advances</t>
  </si>
  <si>
    <t>Tax claims</t>
  </si>
  <si>
    <t>Current Assets-Inventories</t>
  </si>
  <si>
    <t>Raw materials (Coal)</t>
  </si>
  <si>
    <t>Coal stock with third parties</t>
  </si>
  <si>
    <t>Fuel Oil, LDO etc</t>
  </si>
  <si>
    <t>Stock-in-transit (Coal &amp; Oil)</t>
  </si>
  <si>
    <t>Stores and spares</t>
  </si>
  <si>
    <t>Stock Of Water</t>
  </si>
  <si>
    <t>Less : Provision for Obsolescence of stores and spares</t>
  </si>
  <si>
    <t>Less : Provision for material shortage pending investigation</t>
  </si>
  <si>
    <t/>
  </si>
  <si>
    <t xml:space="preserve">Current Assets - Trade Receivables </t>
  </si>
  <si>
    <t>Unsecured considered good;</t>
  </si>
  <si>
    <t>Trade receivable at fair value</t>
  </si>
  <si>
    <t>Less: Allowance for Expected Credit Loss</t>
  </si>
  <si>
    <t>Unbilled Receivables</t>
  </si>
  <si>
    <t>(Refer Note 43(A) for LPS and Unbilled Receivables)</t>
  </si>
  <si>
    <t>Current Assets-Cash and Cash Equivalents</t>
  </si>
  <si>
    <t>Balances with Scheduled Banks:</t>
  </si>
  <si>
    <t>- on Current Accounts</t>
  </si>
  <si>
    <t>Cash Equivalents</t>
  </si>
  <si>
    <t>Cash on Hand</t>
  </si>
  <si>
    <t>Current Assets-Current Loans</t>
  </si>
  <si>
    <t xml:space="preserve">     Employee loans and advances</t>
  </si>
  <si>
    <t xml:space="preserve">     Receivable from CPF Trust</t>
  </si>
  <si>
    <t xml:space="preserve">     Other  Advances </t>
  </si>
  <si>
    <t>Other Current Financial Assets</t>
  </si>
  <si>
    <t xml:space="preserve">    Unsecured, considered good</t>
  </si>
  <si>
    <t xml:space="preserve">Recoverables from Employees </t>
  </si>
  <si>
    <t>Rent Receivable</t>
  </si>
  <si>
    <t>Claims receivable</t>
  </si>
  <si>
    <t>Deposit paid</t>
  </si>
  <si>
    <t>Stock of Energy Saving Certificates</t>
  </si>
  <si>
    <t>Recoverable from Contractors</t>
  </si>
  <si>
    <t>Current Assets-Other Assets</t>
  </si>
  <si>
    <t>Prepaid Expenses</t>
  </si>
  <si>
    <t xml:space="preserve">Tax claims </t>
  </si>
  <si>
    <t>Advances for O &amp; M supplies / works</t>
  </si>
  <si>
    <t>Other Equity- Reserves and Surplus</t>
  </si>
  <si>
    <t xml:space="preserve">     (a) Retained Earnings</t>
  </si>
  <si>
    <t xml:space="preserve">     As per last Balance Sheet</t>
  </si>
  <si>
    <t xml:space="preserve">     Add  : Profit/(loss) for the year</t>
  </si>
  <si>
    <t xml:space="preserve">     Add  : Profit/(loss) for the year attributable to Parent owner</t>
  </si>
  <si>
    <t xml:space="preserve">     Add  : Profit/(loss) for the year attributable to Non-controlling Interest</t>
  </si>
  <si>
    <t xml:space="preserve">     (b): Other Reserves</t>
  </si>
  <si>
    <t>Share Application Money Pending Allotment</t>
  </si>
  <si>
    <t>Other Equity Attributable to Parent Owner</t>
  </si>
  <si>
    <t>Other Equity Attributable to Non-controlling Interest</t>
  </si>
  <si>
    <t>Non Current Borrowings</t>
  </si>
  <si>
    <t>Term loans</t>
  </si>
  <si>
    <t>Secured</t>
  </si>
  <si>
    <t>Term Loan From Financial Institutions</t>
  </si>
  <si>
    <t xml:space="preserve">        PFC</t>
  </si>
  <si>
    <t xml:space="preserve">        REC</t>
  </si>
  <si>
    <t>Term Loan From Banks</t>
  </si>
  <si>
    <t>Un - secured</t>
  </si>
  <si>
    <t>Term Loan From Others</t>
  </si>
  <si>
    <t xml:space="preserve">Loan from World Bank </t>
  </si>
  <si>
    <t>Loan from CSSEPL</t>
  </si>
  <si>
    <t>Loan from KFW</t>
  </si>
  <si>
    <t>a) Refer Annexure A-Long term Borrowing for details regarding Nature of loan, security offered, mode of repayment etc.</t>
  </si>
  <si>
    <t>b) The outstanding Long term loans from banks carry fixed interest rate ranging between 9.08% to 11.76% p.a. repayable on due dates, in line with respective arrangements with the lender banks.</t>
  </si>
  <si>
    <t>13A</t>
  </si>
  <si>
    <t>Non Current Lease Liabilities</t>
  </si>
  <si>
    <t>Lease Liability-Ind AS 116</t>
  </si>
  <si>
    <t>Non Current Provisions</t>
  </si>
  <si>
    <t>Provision for Leave Encashment</t>
  </si>
  <si>
    <t>Other Non-Current Liabilities</t>
  </si>
  <si>
    <t>Deferred Grant-Govt of Maharashtra</t>
  </si>
  <si>
    <t>GOM -Central Financial Assistance</t>
  </si>
  <si>
    <t xml:space="preserve">       Retentions &amp; Payables</t>
  </si>
  <si>
    <t>Current Borrowings</t>
  </si>
  <si>
    <t xml:space="preserve">       Loans repayable on demand</t>
  </si>
  <si>
    <t xml:space="preserve">       Secured</t>
  </si>
  <si>
    <t xml:space="preserve">       from banks</t>
  </si>
  <si>
    <t xml:space="preserve">            Working Capital</t>
  </si>
  <si>
    <t xml:space="preserve">      Current maturities of Long Term Borrowings</t>
  </si>
  <si>
    <t xml:space="preserve">    Unsecured</t>
  </si>
  <si>
    <t xml:space="preserve">            Other Short Term Loans</t>
  </si>
  <si>
    <t>a) Refer Annexure B-Short term Borrowing for details regarding Nature of loan, security offered, mode of repayment etc.</t>
  </si>
  <si>
    <t>b) The outstanding short term working capital loans from banks carry fixed interest rate ranging between 7.15% to 9.92% p.a. repayable on due dates, in line with respective arrangements with the lender banks.</t>
  </si>
  <si>
    <t>17A</t>
  </si>
  <si>
    <t>Current Lease Liabilities</t>
  </si>
  <si>
    <t>Lease Liabilities</t>
  </si>
  <si>
    <t>Current Trade Payables</t>
  </si>
  <si>
    <t>Micro, Small and Medium Enterprises (MSME)</t>
  </si>
  <si>
    <t>Other than MSME</t>
  </si>
  <si>
    <t>Other Current Financial Liabilities</t>
  </si>
  <si>
    <t xml:space="preserve">      Retentions &amp; Payables</t>
  </si>
  <si>
    <t xml:space="preserve">      Other Deposits</t>
  </si>
  <si>
    <t xml:space="preserve">Interest accrued but not due </t>
  </si>
  <si>
    <t>Payables for Capital goods</t>
  </si>
  <si>
    <t>Related Party Payables</t>
  </si>
  <si>
    <t>Provision for Fly ash utilisation Fund (Refer Note 30)</t>
  </si>
  <si>
    <t>Payable to Government</t>
  </si>
  <si>
    <t>Payable to employees</t>
  </si>
  <si>
    <t xml:space="preserve"> Capital Grant</t>
  </si>
  <si>
    <t>Statutory Dues</t>
  </si>
  <si>
    <t>Income tax deducted at source</t>
  </si>
  <si>
    <t>Income tax collected at source</t>
  </si>
  <si>
    <t>Service Tax liability &amp; Electricity Duty Payable</t>
  </si>
  <si>
    <t>GST Liabilities</t>
  </si>
  <si>
    <t>Professional Tax Liability</t>
  </si>
  <si>
    <t>Current Provisions</t>
  </si>
  <si>
    <t>Notes to the Financial Statements for the year ended 31st March, 2024</t>
  </si>
  <si>
    <r>
      <t>(</t>
    </r>
    <r>
      <rPr>
        <b/>
        <sz val="11"/>
        <rFont val="Arial"/>
        <family val="2"/>
      </rPr>
      <t>Rs. Crores)</t>
    </r>
  </si>
  <si>
    <t>Sale of Products</t>
  </si>
  <si>
    <t>Sale of Power</t>
  </si>
  <si>
    <t xml:space="preserve"> Fuel Adjustment Charges</t>
  </si>
  <si>
    <t>Other Operating Revenues</t>
  </si>
  <si>
    <t>Rejected Coal</t>
  </si>
  <si>
    <t>IPP Sale of Coal</t>
  </si>
  <si>
    <t>Sale of Fly Ash</t>
  </si>
  <si>
    <t>Less:- Transferred to Fly Ash Liability</t>
  </si>
  <si>
    <t>Other Income</t>
  </si>
  <si>
    <t xml:space="preserve">  Interest Income on Financial Assets carried at amortized cost:</t>
  </si>
  <si>
    <t>Interest income</t>
  </si>
  <si>
    <t xml:space="preserve">      On Staff Loans</t>
  </si>
  <si>
    <t xml:space="preserve">      On Customers' Accounts</t>
  </si>
  <si>
    <t>Late payment surcharge (Refer Note No.43(A))</t>
  </si>
  <si>
    <t>Gain on sale of Fixed assets</t>
  </si>
  <si>
    <t>Income from rent, hire charges etc.</t>
  </si>
  <si>
    <t>Profit on sale of stores/scrap</t>
  </si>
  <si>
    <t>Sale of tender forms</t>
  </si>
  <si>
    <t>Sundry Credit balance write Back</t>
  </si>
  <si>
    <t>Other receipts</t>
  </si>
  <si>
    <t>Total Other Income</t>
  </si>
  <si>
    <t>24A</t>
  </si>
  <si>
    <t>Share of Profit in Associates &amp; joint Ventures</t>
  </si>
  <si>
    <t>$</t>
  </si>
  <si>
    <t>Cost of Materials Consumed</t>
  </si>
  <si>
    <t>Coal</t>
  </si>
  <si>
    <t>IPP Purchase of coal</t>
  </si>
  <si>
    <t>Purchase of Power - Solar energy</t>
  </si>
  <si>
    <t xml:space="preserve">Gas </t>
  </si>
  <si>
    <t xml:space="preserve">Oil </t>
  </si>
  <si>
    <t>Water</t>
  </si>
  <si>
    <t>Purchase of Power</t>
  </si>
  <si>
    <t>Employee Benefits Expense</t>
  </si>
  <si>
    <t>Salaries, Wages, Bonus, etc.</t>
  </si>
  <si>
    <t>Less Salaries capitalised</t>
  </si>
  <si>
    <t xml:space="preserve">Contribution to Provident Fund </t>
  </si>
  <si>
    <t>Gratuity, Leave Encashment  and Other Employee Benefits</t>
  </si>
  <si>
    <t>Employee Welfare Expenses</t>
  </si>
  <si>
    <t>26A</t>
  </si>
  <si>
    <t>Employee Benefits Expense under OCI</t>
  </si>
  <si>
    <t>Remeasurements of the defined benefit plans</t>
  </si>
  <si>
    <t>Interest on Lease Liability</t>
  </si>
  <si>
    <t>Interest on Long term Loan</t>
  </si>
  <si>
    <t>Interest on Working Capital</t>
  </si>
  <si>
    <t>Exchange difference regarded as an adjustment to borrowing cost</t>
  </si>
  <si>
    <t>Less:- Interest Capitalised</t>
  </si>
  <si>
    <t xml:space="preserve">Other borrowing costs </t>
  </si>
  <si>
    <t>Other Expenses</t>
  </si>
  <si>
    <t>Rent</t>
  </si>
  <si>
    <t>Hydro Lease rent</t>
  </si>
  <si>
    <r>
      <t xml:space="preserve">       </t>
    </r>
    <r>
      <rPr>
        <b/>
        <u/>
        <sz val="11"/>
        <color indexed="8"/>
        <rFont val="Arial"/>
        <family val="2"/>
      </rPr>
      <t>Repairs and Maintenance on:-</t>
    </r>
  </si>
  <si>
    <t xml:space="preserve">     - Plant &amp; machinery &amp; Building</t>
  </si>
  <si>
    <t xml:space="preserve">     - Repair &amp; Maintenance - Others</t>
  </si>
  <si>
    <t>Insurance charges</t>
  </si>
  <si>
    <t>Rates and taxes</t>
  </si>
  <si>
    <t>Lubricants, consumables &amp; stores</t>
  </si>
  <si>
    <t>Obsolescence of Stores</t>
  </si>
  <si>
    <t>Domestic water</t>
  </si>
  <si>
    <t>Legal and professional charges</t>
  </si>
  <si>
    <t>Commission to agents</t>
  </si>
  <si>
    <t>Bank charges</t>
  </si>
  <si>
    <t>CSR expenditure</t>
  </si>
  <si>
    <t>Provision for doubtful advances</t>
  </si>
  <si>
    <t xml:space="preserve"> Allowance for Expected Credit Loss</t>
  </si>
  <si>
    <t>Security Expenses</t>
  </si>
  <si>
    <t xml:space="preserve">Upkeep of office                                  </t>
  </si>
  <si>
    <t xml:space="preserve">Expenditure on hire charges of Taxi / Vehicle for </t>
  </si>
  <si>
    <t>Other general expenses</t>
  </si>
  <si>
    <t>Loss on obsolescence of Fixed Assets</t>
  </si>
  <si>
    <t>Loss on foreign exchange variance (Net )</t>
  </si>
  <si>
    <t>Deviation Settlement Mechanism (DSM) Charges</t>
  </si>
  <si>
    <t>Prior Period (Expenses-Income)</t>
  </si>
  <si>
    <r>
      <t xml:space="preserve">       </t>
    </r>
    <r>
      <rPr>
        <b/>
        <u/>
        <sz val="11"/>
        <color indexed="8"/>
        <rFont val="Arial"/>
        <family val="2"/>
      </rPr>
      <t>Payments to the auditors for:</t>
    </r>
  </si>
  <si>
    <t xml:space="preserve">            - Audit fees </t>
  </si>
  <si>
    <t xml:space="preserve">            - Other services</t>
  </si>
  <si>
    <t xml:space="preserve">            - Reimbursement of expenses</t>
  </si>
  <si>
    <t xml:space="preserve">            - Reimbursement of  tax</t>
  </si>
  <si>
    <t>28A</t>
  </si>
  <si>
    <t>Deferred Tax Expenses</t>
  </si>
  <si>
    <t>Non OCI Defered Tax gain /(Expenditure)</t>
  </si>
  <si>
    <t>OCI Items Defered Tax gain /(Expenditure)</t>
  </si>
  <si>
    <t>28B</t>
  </si>
  <si>
    <t>Exceptional Item</t>
  </si>
  <si>
    <t>Fair Value Adjustment</t>
  </si>
  <si>
    <t xml:space="preserve">       Unwinding of Interest</t>
  </si>
  <si>
    <t>EPS Calculation:</t>
  </si>
  <si>
    <t>Basic EPS:</t>
  </si>
  <si>
    <t>Weighted avg no. of shares outstanding</t>
  </si>
  <si>
    <t>Earnings per share</t>
  </si>
  <si>
    <t>Diluted EPS:</t>
  </si>
  <si>
    <t>2023-24</t>
  </si>
  <si>
    <t>2022-23</t>
  </si>
  <si>
    <t>No. of shares</t>
  </si>
  <si>
    <t>o/s for</t>
  </si>
  <si>
    <t>w. avg</t>
  </si>
  <si>
    <t>Weighted Average no of shares</t>
  </si>
  <si>
    <t>Note No: 50  Ratio Analysis</t>
  </si>
  <si>
    <t>Sr No</t>
  </si>
  <si>
    <t>% variation</t>
  </si>
  <si>
    <t>Reason for Variance
more than 25%</t>
  </si>
  <si>
    <t>Current Assets (A)</t>
  </si>
  <si>
    <t>Current Liabilities (B)</t>
  </si>
  <si>
    <t>Current Ratio (A)/(B)</t>
  </si>
  <si>
    <t xml:space="preserve">Debt </t>
  </si>
  <si>
    <t>Debt Equity Ratio</t>
  </si>
  <si>
    <t>Reduction in Import Coal consumption and withdrawl of Financial Impairment provision</t>
  </si>
  <si>
    <t>EBDITA (A)</t>
  </si>
  <si>
    <t>Repayment +Interest (B)</t>
  </si>
  <si>
    <t>Debt Service Coverage Ratio (A/B)</t>
  </si>
  <si>
    <t>In FY 2022-23 (Restated) Company recognised net financial impairment provision of Rs. 1590 Crs.However in FY 2023-24 provision of  Rs. 796 Crs. Has been withdrawn leading to change in profit / (loss) position for the year.</t>
  </si>
  <si>
    <t>Profit After Tax (A)</t>
  </si>
  <si>
    <t>Equity (B)</t>
  </si>
  <si>
    <t>Return on Equity (A/B)</t>
  </si>
  <si>
    <t>Cost of goods sold is decreased mainly due to lesser consumption of Imported coal. Inventory is increased mainly due to increse in inventory of Raw coal.</t>
  </si>
  <si>
    <t>Cost of Goods Sold (Cost of material Consumed) (A)</t>
  </si>
  <si>
    <t>Inventory (B)</t>
  </si>
  <si>
    <t>Inventory Turnover Ratio (A/B)</t>
  </si>
  <si>
    <t>Turnover (A)</t>
  </si>
  <si>
    <t>Trade Receivables (B)</t>
  </si>
  <si>
    <t>Trade Receivables Turnover Ratio (A/B)</t>
  </si>
  <si>
    <t>Trade Payables (B)</t>
  </si>
  <si>
    <t>Trade Payables Turnover Ratio (A/B)</t>
  </si>
  <si>
    <t>Net Capital (B)</t>
  </si>
  <si>
    <t>Net Capital Turnover Ratio(A/B)</t>
  </si>
  <si>
    <t>Turnover (B)</t>
  </si>
  <si>
    <t>Net Profit Ratio (A/B)</t>
  </si>
  <si>
    <t>EBIT (A)</t>
  </si>
  <si>
    <t xml:space="preserve">Capital Employed (B) </t>
  </si>
  <si>
    <t>Return on Capital Employed (A/B)</t>
  </si>
  <si>
    <t>Investment (B) i.e. Total Equity+Long Term Borrowings</t>
  </si>
  <si>
    <t>Return on Investment (A/B)</t>
  </si>
  <si>
    <t>MAHAGENCO Balance Sheet Grouping</t>
  </si>
  <si>
    <t>GL</t>
  </si>
  <si>
    <t>Note 1</t>
  </si>
  <si>
    <t>Tangible Gross Block</t>
  </si>
  <si>
    <t xml:space="preserve">Freehold Land                                     </t>
  </si>
  <si>
    <t xml:space="preserve">Leasehold Land                                    </t>
  </si>
  <si>
    <t xml:space="preserve">Factory Buildings                                 </t>
  </si>
  <si>
    <t xml:space="preserve">Other Buildings                                   </t>
  </si>
  <si>
    <t xml:space="preserve">Hydraulic Works                                   </t>
  </si>
  <si>
    <t xml:space="preserve">Civil works-Railway sidings                       </t>
  </si>
  <si>
    <t xml:space="preserve">Civil works-Roads &amp; Others                        </t>
  </si>
  <si>
    <t xml:space="preserve">Plant &amp; Machinery                                 </t>
  </si>
  <si>
    <t>Overhaul of units P &amp; M</t>
  </si>
  <si>
    <t>Fly Ash Utilisation Fund</t>
  </si>
  <si>
    <t xml:space="preserve">Lines Cables and Network                          </t>
  </si>
  <si>
    <t xml:space="preserve">Vehicles                                          </t>
  </si>
  <si>
    <t xml:space="preserve">Furniture &amp; Fixtures                              </t>
  </si>
  <si>
    <t xml:space="preserve">Office Equipment                                  </t>
  </si>
  <si>
    <t xml:space="preserve">Cap Exp resulting in Assets not belonging to company        </t>
  </si>
  <si>
    <t>Leased Assets</t>
  </si>
  <si>
    <t>Asset Contra Account</t>
  </si>
  <si>
    <t>Accumulated Depreciation</t>
  </si>
  <si>
    <t xml:space="preserve">Amortization - Leasehold land                     </t>
  </si>
  <si>
    <t xml:space="preserve">Accum Depre - Factory Buildings                   </t>
  </si>
  <si>
    <t xml:space="preserve">Accum Depre - Other Buildings                     </t>
  </si>
  <si>
    <t xml:space="preserve">Accum Depre - Hydraulic works                     </t>
  </si>
  <si>
    <t xml:space="preserve">Accum Depre - Railway Sidings                     </t>
  </si>
  <si>
    <t xml:space="preserve">Accum Depre - Roads &amp; Others                      </t>
  </si>
  <si>
    <t xml:space="preserve">Accum Depre - Plant &amp; Machinary                   </t>
  </si>
  <si>
    <t>Accum Depre - Overhaul of Unit P &amp; M</t>
  </si>
  <si>
    <t>Accum Depre - Fly Ash Utilisation Fund</t>
  </si>
  <si>
    <t xml:space="preserve">Accum Depre - Line cabels &amp; network               </t>
  </si>
  <si>
    <t xml:space="preserve">Accum Depre - Vehicles                            </t>
  </si>
  <si>
    <t xml:space="preserve">Accum Depre - Furniture &amp; Fixtures                </t>
  </si>
  <si>
    <t xml:space="preserve">Accum Depre - Office equipment                    </t>
  </si>
  <si>
    <t xml:space="preserve">AD-Not belonging to MAHAGENCO                     </t>
  </si>
  <si>
    <t>Accum Depre - Leased Assets</t>
  </si>
  <si>
    <t>Net Block (Tangible)</t>
  </si>
  <si>
    <t>Note 1A</t>
  </si>
  <si>
    <t>Right to Use of Assets</t>
  </si>
  <si>
    <t>Accu. Amort. for Right to Use Assets</t>
  </si>
  <si>
    <t>Net Block (RTU)</t>
  </si>
  <si>
    <t>Note 1B</t>
  </si>
  <si>
    <t>Intangible Assets</t>
  </si>
  <si>
    <t xml:space="preserve">Intangible asset                                  </t>
  </si>
  <si>
    <t xml:space="preserve">Accum-Intagible Assets                            </t>
  </si>
  <si>
    <t>Net Block (Intangible)</t>
  </si>
  <si>
    <t>Note 1C</t>
  </si>
  <si>
    <t>Asset Not In Use</t>
  </si>
  <si>
    <t>Asset Not In use Gross Block</t>
  </si>
  <si>
    <t>Cap Exp resulting in Assets not belong MG</t>
  </si>
  <si>
    <t>MG-A Not belong MG (ANIU)</t>
  </si>
  <si>
    <t>MG-Intangible Asset (ANIU)</t>
  </si>
  <si>
    <t>Asset Not in Use Accumulated Depn</t>
  </si>
  <si>
    <t>Accum-Intagible Assets</t>
  </si>
  <si>
    <t>Provision for obsolescence</t>
  </si>
  <si>
    <t>Net Block of Asset Not In Use</t>
  </si>
  <si>
    <t>Note 2</t>
  </si>
  <si>
    <t xml:space="preserve"> Capital WIP</t>
  </si>
  <si>
    <t>Tangible Capital WIP</t>
  </si>
  <si>
    <t xml:space="preserve">AuC-No investt measure                            </t>
  </si>
  <si>
    <t xml:space="preserve">CWIP - Freehold Land                              </t>
  </si>
  <si>
    <t xml:space="preserve">CWIP - Leasehold Land                             </t>
  </si>
  <si>
    <t xml:space="preserve">CWIP - Factory Buildings                          </t>
  </si>
  <si>
    <t xml:space="preserve">CWIP - Other Buildings                            </t>
  </si>
  <si>
    <t xml:space="preserve">CWIP -  Hydraulic works                           </t>
  </si>
  <si>
    <t xml:space="preserve">CWIP - Railway Sidings                            </t>
  </si>
  <si>
    <t xml:space="preserve">CWIP - Roads &amp; Others                             </t>
  </si>
  <si>
    <t xml:space="preserve">CWIP - Plant &amp; Machinary                          </t>
  </si>
  <si>
    <t>CWIP - AOH Plant &amp; Machinary</t>
  </si>
  <si>
    <t xml:space="preserve">CWIP -  Line cabels &amp; network                     </t>
  </si>
  <si>
    <t xml:space="preserve">CWIP -  Vehicles                                  </t>
  </si>
  <si>
    <t xml:space="preserve">CWIP -  Furniture &amp; Fixtures                      </t>
  </si>
  <si>
    <t xml:space="preserve">CWIP -  Office equipment                          </t>
  </si>
  <si>
    <t>Net Tangible Capital WIP</t>
  </si>
  <si>
    <t xml:space="preserve">CWIP - Intangible Assets                          </t>
  </si>
  <si>
    <t>Investments in subsidiaries/ associates</t>
  </si>
  <si>
    <t>Equity Investment in subsidiaries/ associates</t>
  </si>
  <si>
    <t>MAHAGENCO Ash Management Services Limited (formerly Dhule Power Limited)</t>
  </si>
  <si>
    <t>Dhopave Coastal Power Company Limited</t>
  </si>
  <si>
    <t>UCM Coal Co. Ltd</t>
  </si>
  <si>
    <t>Mahaguj Colliery Limited</t>
  </si>
  <si>
    <t>Equity shares-Latur Power</t>
  </si>
  <si>
    <t>Equity Share in CKDRL</t>
  </si>
  <si>
    <t>Shares in Kolhapur District Coop Bank</t>
  </si>
  <si>
    <t>Total A</t>
  </si>
  <si>
    <t>Quasi Equity Investment</t>
  </si>
  <si>
    <t>Mahagenco Ash Management Services Limited</t>
  </si>
  <si>
    <t>Loans-Koradi Power</t>
  </si>
  <si>
    <t>Loans-MSPG consultancy Ltd.</t>
  </si>
  <si>
    <t>Loans-Latur Power</t>
  </si>
  <si>
    <t>Total B</t>
  </si>
  <si>
    <t>Less:- Expected Credit Loss on Quasi Equity Investment</t>
  </si>
  <si>
    <t>Less:- Expected Credit Loss on Equity investment</t>
  </si>
  <si>
    <t>Total D</t>
  </si>
  <si>
    <t>Total A+B-C-D</t>
  </si>
  <si>
    <t>Note 3A</t>
  </si>
  <si>
    <t>Non Current Assets- Bank Deposits with more than 12 months maturity</t>
  </si>
  <si>
    <t>Investment in FD – Chandrapur 50 MLD ST</t>
  </si>
  <si>
    <t>Invst FD – Cash Margin for issue of Lit</t>
  </si>
  <si>
    <t>Investment in FD – NWWMPL Escrow  Depos</t>
  </si>
  <si>
    <t>Investment in FD - for DSRA SBI</t>
  </si>
  <si>
    <t>Note 3B</t>
  </si>
  <si>
    <t>Non-Current :  Trade Receivables</t>
  </si>
  <si>
    <t>Other Non- Current Assets</t>
  </si>
  <si>
    <t>Advance to Supplier</t>
  </si>
  <si>
    <t>Aurangabad Power Company Limited</t>
  </si>
  <si>
    <t>Other Loans &amp; Advances</t>
  </si>
  <si>
    <t>Employee Recoverables</t>
  </si>
  <si>
    <t>Receivable from Government</t>
  </si>
  <si>
    <t>CST - Payable (Sales)</t>
  </si>
  <si>
    <t>Recoverable from Railway against GST TDS</t>
  </si>
  <si>
    <t>Recovery from Vendor for third party payments</t>
  </si>
  <si>
    <t>Advance to Government Authorities</t>
  </si>
  <si>
    <t>Balance recoverable from statutory  authorities</t>
  </si>
  <si>
    <t>Advances for fuel supplies</t>
  </si>
  <si>
    <t>Income Tax - Adv &amp; SA TAx</t>
  </si>
  <si>
    <t>TDS-Income from Investment</t>
  </si>
  <si>
    <t>TDS-Services rendered</t>
  </si>
  <si>
    <t>TDS-Other Income</t>
  </si>
  <si>
    <t>IT TDS under Section 194O</t>
  </si>
  <si>
    <t>TDS credit u/s 194Q</t>
  </si>
  <si>
    <t>Less: Provision for Income Tax</t>
  </si>
  <si>
    <t>HBA Principal</t>
  </si>
  <si>
    <t>Scooter Principal</t>
  </si>
  <si>
    <t>Car Principal</t>
  </si>
  <si>
    <t>Cycle Principal</t>
  </si>
  <si>
    <t>Computer Principal</t>
  </si>
  <si>
    <t>TA/DA Advance</t>
  </si>
  <si>
    <t>Salary/Pay Advance</t>
  </si>
  <si>
    <t>Festival Advance</t>
  </si>
  <si>
    <t>Covid 19 Advance</t>
  </si>
  <si>
    <t>Flood Advance</t>
  </si>
  <si>
    <t>Medical Advance</t>
  </si>
  <si>
    <t>LTC Advance</t>
  </si>
  <si>
    <t>Advance against Wage Revision</t>
  </si>
  <si>
    <t>Interim Relief-Advance</t>
  </si>
  <si>
    <t>1/3rd Gratuity Advance</t>
  </si>
  <si>
    <t xml:space="preserve">Deferred Lease Rent </t>
  </si>
  <si>
    <t>Total Other Non current Assets</t>
  </si>
  <si>
    <t>Note 5</t>
  </si>
  <si>
    <t>Stock of Power</t>
  </si>
  <si>
    <t>Stock Raw Coal</t>
  </si>
  <si>
    <t>Rejected Coal Stock</t>
  </si>
  <si>
    <t>Stock Washed Coal</t>
  </si>
  <si>
    <t>Stock Imported Coal</t>
  </si>
  <si>
    <t>St- Other Coal Rel Cost (Material)</t>
  </si>
  <si>
    <t>Semi Finished Raw coal</t>
  </si>
  <si>
    <t>Semi finished Washed</t>
  </si>
  <si>
    <t>Semi finished Imported</t>
  </si>
  <si>
    <t>Stock with Import Coal Transporter</t>
  </si>
  <si>
    <t>Fuel stock excess/shortages pending investigation</t>
  </si>
  <si>
    <t>Oil Stock - L.D.O.</t>
  </si>
  <si>
    <t>Oil Stock - H.S.D.</t>
  </si>
  <si>
    <t>Oil Stock - F.O.</t>
  </si>
  <si>
    <t>Oil Stock - Other</t>
  </si>
  <si>
    <t>Stock of Gas</t>
  </si>
  <si>
    <t>Stock of Water</t>
  </si>
  <si>
    <t>Stock of Raw Water</t>
  </si>
  <si>
    <t>Stock of Semi finished Water - PTP</t>
  </si>
  <si>
    <t>Stock of Semi finished Water - DM</t>
  </si>
  <si>
    <t>Stock of Semi finished Water - Soften Water</t>
  </si>
  <si>
    <t>Stock of Semi finished Water - Dom Water</t>
  </si>
  <si>
    <t>Stock of Medicines</t>
  </si>
  <si>
    <t>Stock-in-transit (Coal)</t>
  </si>
  <si>
    <t>Oil in Transit</t>
  </si>
  <si>
    <t>Other Material in Transit</t>
  </si>
  <si>
    <t>Stock of Chemical WTP</t>
  </si>
  <si>
    <t>O&amp;M Material Stock-Steel</t>
  </si>
  <si>
    <t>O&amp;M Material Stock-Cement</t>
  </si>
  <si>
    <t>O&amp;M Material Stock-Cable &amp; Conductors</t>
  </si>
  <si>
    <t>Spares Stock</t>
  </si>
  <si>
    <t>Stock - Reg Staff Welfare</t>
  </si>
  <si>
    <t>Stock - Office Stationery</t>
  </si>
  <si>
    <t>St-Chemical consumable</t>
  </si>
  <si>
    <t>Stock  of Project Material</t>
  </si>
  <si>
    <t>St - Canteen Exps (Material)</t>
  </si>
  <si>
    <t>St- Tel &amp; Mob Ex (Material)</t>
  </si>
  <si>
    <t>St- Entertainment Ex (Material)</t>
  </si>
  <si>
    <t>St- Exp on Meeti &amp; Conf (Material)</t>
  </si>
  <si>
    <t>St- Upkeep of Office (Mate)</t>
  </si>
  <si>
    <t>St- Sec meas for safety &amp; protection (Material)</t>
  </si>
  <si>
    <t>Material pending investigation</t>
  </si>
  <si>
    <t>Initial stock load-pending material master</t>
  </si>
  <si>
    <t>Stock - Scrap</t>
  </si>
  <si>
    <t>Less:Provision for material shortage pendg investigatn</t>
  </si>
  <si>
    <t>Total Inventories</t>
  </si>
  <si>
    <t>Note 6</t>
  </si>
  <si>
    <t>Sundry debtors for sale of power - Commercial</t>
  </si>
  <si>
    <t>Sundry debtors for sale of power - Industrial low</t>
  </si>
  <si>
    <t>Sundry debtors for sale of power - Industrial high</t>
  </si>
  <si>
    <t>Sundry debtors for sale of power - Public lighting</t>
  </si>
  <si>
    <t>Sundry debtors for sale of power - MSEDCL</t>
  </si>
  <si>
    <t>Sundry Debtors for Energy saving certificate</t>
  </si>
  <si>
    <t>Sundry debtors Others</t>
  </si>
  <si>
    <t>Unwinding of Interest</t>
  </si>
  <si>
    <t>Sundry debtors - AR-IPP Coal Sale</t>
  </si>
  <si>
    <t>Unbilled Revenue Receivables</t>
  </si>
  <si>
    <t>Note 7</t>
  </si>
  <si>
    <t>Cash equivalents</t>
  </si>
  <si>
    <t>Bank OD</t>
  </si>
  <si>
    <t>Employee loans and advances</t>
  </si>
  <si>
    <t>Advance to staff</t>
  </si>
  <si>
    <t>CPF Loan Principal</t>
  </si>
  <si>
    <t xml:space="preserve">Other  Advances </t>
  </si>
  <si>
    <t>Interest due</t>
  </si>
  <si>
    <t>Mediclaim recoverable</t>
  </si>
  <si>
    <t>Mediclaim compulsary  Recovery CISF</t>
  </si>
  <si>
    <t>Term Accident Insurance Recovery From Employee</t>
  </si>
  <si>
    <t>Electricity Charges Recoverable</t>
  </si>
  <si>
    <t>Ind AS-Surcharge Receivable</t>
  </si>
  <si>
    <t>Tax claims including MVAT set-off</t>
  </si>
  <si>
    <t>Sundry debtors for sale of power - Domestic or Res</t>
  </si>
  <si>
    <t>Deposit paid by Mahagenco to Related Party</t>
  </si>
  <si>
    <t>Deposit with MSEDCL</t>
  </si>
  <si>
    <t>Deposit with MSETCL</t>
  </si>
  <si>
    <t>Deposit paid by Mahagenco</t>
  </si>
  <si>
    <t>CST Recoverable</t>
  </si>
  <si>
    <t>Balances with Statutory Authorities</t>
  </si>
  <si>
    <t>MVAT Set-off</t>
  </si>
  <si>
    <t>Advances to O&amp;M Suppliers</t>
  </si>
  <si>
    <t>Advances for fuel companies</t>
  </si>
  <si>
    <t>Equity Share Capital</t>
  </si>
  <si>
    <t>Other Equity</t>
  </si>
  <si>
    <t>General Reserve</t>
  </si>
  <si>
    <t>Capital Reserve</t>
  </si>
  <si>
    <t>Opening Retained Earnings</t>
  </si>
  <si>
    <t>Ind AS Retained Earnings</t>
  </si>
  <si>
    <t>Current Year Profit</t>
  </si>
  <si>
    <t>Share application money pending allotment</t>
  </si>
  <si>
    <t>Non- Current Borrowings</t>
  </si>
  <si>
    <t>Power Finance Corporation</t>
  </si>
  <si>
    <t>Less: Current maturities of above Loans</t>
  </si>
  <si>
    <t>Rural Electrification Corporation</t>
  </si>
  <si>
    <t>Loan from Housing Urban Development Corporation</t>
  </si>
  <si>
    <t>ST Loan fm Canara Bank-WC</t>
  </si>
  <si>
    <t>ST Loan fm SBI</t>
  </si>
  <si>
    <t>LTL fm Canara Bank R &amp; M</t>
  </si>
  <si>
    <t>LTL fm South Ind Bank</t>
  </si>
  <si>
    <t>LTL fm Synd Bk - B105</t>
  </si>
  <si>
    <t>LTL fm Synd Bk - B110</t>
  </si>
  <si>
    <t>LTL fm Synd Bk - B120</t>
  </si>
  <si>
    <t>LTL fm Synd Bk - B125</t>
  </si>
  <si>
    <t>LTL fm Synd Bk - B130</t>
  </si>
  <si>
    <t>LTL fm Synd Bk - B135</t>
  </si>
  <si>
    <t>LTL fm Synd Bk - B135N</t>
  </si>
  <si>
    <t>LTL fm Synd Bk - B136</t>
  </si>
  <si>
    <t>LTL fm Synd Bk - B170</t>
  </si>
  <si>
    <t>LTL fm Synd Bk - MG01</t>
  </si>
  <si>
    <t>LTL fm Canara Bank KRD Proj</t>
  </si>
  <si>
    <t>LTL frm IREDA- 1932- for 4 MW Solar plant at Chand</t>
  </si>
  <si>
    <t>LTLfrom Bank of India (Loan No.-016065410000263) f</t>
  </si>
  <si>
    <t>LT Loan from SBI-Debt Refinancing - Khaperkheda T</t>
  </si>
  <si>
    <t>REC LT-16144(FGD install. Parli TPS U-6</t>
  </si>
  <si>
    <t>LT-GoM - Parli3</t>
  </si>
  <si>
    <t>LT-GoM - Paras6</t>
  </si>
  <si>
    <t>LT-GoM - Uran</t>
  </si>
  <si>
    <t>Loan from CSSEPL (Baramati Project)</t>
  </si>
  <si>
    <t>Loan from KfW, Germany for 150 MW Solar Project at</t>
  </si>
  <si>
    <t>LT Loan from KfW Germany for Other Solar Projects</t>
  </si>
  <si>
    <t>LTL frm HUDCO- 20615 Capital Expenditure (Phase-2)</t>
  </si>
  <si>
    <t>LTL frm HUDCO- 20618 Sewage Treatment Plant with r</t>
  </si>
  <si>
    <t>Note 13A</t>
  </si>
  <si>
    <t>Note 16</t>
  </si>
  <si>
    <t>IBRD Grant No. TF094676</t>
  </si>
  <si>
    <t>Govt. Grant for Pophali Colony</t>
  </si>
  <si>
    <t>Solar-Land Grant</t>
  </si>
  <si>
    <t>Solar-DPR Grant</t>
  </si>
  <si>
    <t>Grant for CSTPS Sewage Water Treatment</t>
  </si>
  <si>
    <t>Retention: performance</t>
  </si>
  <si>
    <t>Retention: trial operation</t>
  </si>
  <si>
    <t>Retention:others</t>
  </si>
  <si>
    <t>Note 17</t>
  </si>
  <si>
    <t>Loans repayable on demand</t>
  </si>
  <si>
    <t>from banks</t>
  </si>
  <si>
    <t>Cash Credit</t>
  </si>
  <si>
    <t>WCDL fm Bank of India</t>
  </si>
  <si>
    <t>WCDL fm Bank of Maharashtra</t>
  </si>
  <si>
    <t>WCDL fm Canara Bank</t>
  </si>
  <si>
    <t>WCDL from Indian Bank</t>
  </si>
  <si>
    <t>WCDL from Central Bank of India</t>
  </si>
  <si>
    <t>WCDL from State Bank of India</t>
  </si>
  <si>
    <t>'ST Loan from Banks-CAPEX</t>
  </si>
  <si>
    <t>STL - Gare Palma Exp</t>
  </si>
  <si>
    <t>Main-BOI1-0014-WM</t>
  </si>
  <si>
    <t>Op-BOI1-0014-WM</t>
  </si>
  <si>
    <t>Main-BOM1-5349-WM</t>
  </si>
  <si>
    <t>Op-BOM1-5349-WM</t>
  </si>
  <si>
    <t>Main-CNB1-0705-WM</t>
  </si>
  <si>
    <t>Op-CNB1-0705-WM</t>
  </si>
  <si>
    <t>All Bank Balance</t>
  </si>
  <si>
    <t>Working Capital</t>
  </si>
  <si>
    <t>ST Loan fm Andhra Bank-WC</t>
  </si>
  <si>
    <t>ST Loan fm Bk of Maha-WC</t>
  </si>
  <si>
    <t>ST Loan fm Central Bank-WC</t>
  </si>
  <si>
    <t>ST Loan fm Dena Bank-WC</t>
  </si>
  <si>
    <t>ST Loan fm Indian Bank-WC</t>
  </si>
  <si>
    <t>ST Loan fm BoB-WC</t>
  </si>
  <si>
    <t>ST Loan fm Vijaya Bank-WC</t>
  </si>
  <si>
    <t>ST Loan fm United Bank of India -WC</t>
  </si>
  <si>
    <t>ST Loan fm BOI -Working Capital</t>
  </si>
  <si>
    <t>ST Loan from South Indian Bank-WC</t>
  </si>
  <si>
    <t>ST Loan from HDFC Bank Ltd.-WC</t>
  </si>
  <si>
    <t>Current maturities of Long Term Borrowings</t>
  </si>
  <si>
    <t>Unsecured Other Short Term Loans</t>
  </si>
  <si>
    <t>STL from Banks</t>
  </si>
  <si>
    <t>ST Loan fm Syndicate Bank</t>
  </si>
  <si>
    <t>ST Loan fm IREDA</t>
  </si>
  <si>
    <t>ST Loan from Gadchiroli DCC Bank-WC</t>
  </si>
  <si>
    <t>ST Loan from MSC- 2116900000001 - WC</t>
  </si>
  <si>
    <t>BOB STL Rs. 500 Cr</t>
  </si>
  <si>
    <t>ST Loan fm Canara Bank-Proj</t>
  </si>
  <si>
    <t>ST Loan fm Central Bank-Proj</t>
  </si>
  <si>
    <t>STL from Bank of India for Project</t>
  </si>
  <si>
    <t>STL from Dena bank  India</t>
  </si>
  <si>
    <t>STL from Syndecate Bank  India for Project Bridge</t>
  </si>
  <si>
    <t>STL from Bank of Maharashtra Project Bridge</t>
  </si>
  <si>
    <t>STL From South Indian Bank for Project</t>
  </si>
  <si>
    <t>STL from Vijaya Bank for Projects</t>
  </si>
  <si>
    <t>ST Loan fm Syndicate Bank- Capex</t>
  </si>
  <si>
    <t>ST Loan fm   Bank of Maharashtra - Capex</t>
  </si>
  <si>
    <t>ST Loan fm Dena Bank- Capex</t>
  </si>
  <si>
    <t>ST Loan fm South Indian Bank - Capex</t>
  </si>
  <si>
    <t>Note 17A</t>
  </si>
  <si>
    <t>Advance Received Frm Customer</t>
  </si>
  <si>
    <t>AP- Fuel  Raw Coal</t>
  </si>
  <si>
    <t>AP- Fuel  Wash Coal</t>
  </si>
  <si>
    <t>AP- Fuel Imported coal</t>
  </si>
  <si>
    <t>AP- Oil</t>
  </si>
  <si>
    <t>AP- Water</t>
  </si>
  <si>
    <t>AP- Chemical (WTP)</t>
  </si>
  <si>
    <t>AP-purchase of Gas</t>
  </si>
  <si>
    <t>AP-Coal related costs</t>
  </si>
  <si>
    <t>AP-Oil related costs</t>
  </si>
  <si>
    <t>AP-Gas related costs</t>
  </si>
  <si>
    <t>AP-Domestic-O&amp;M material / service</t>
  </si>
  <si>
    <t>AP-Import-O&amp;M material/service</t>
  </si>
  <si>
    <t>AP-One time vendor</t>
  </si>
  <si>
    <t>AP-Other vendors</t>
  </si>
  <si>
    <t>AP-Government authorities</t>
  </si>
  <si>
    <t>AP-Power Purchase by MAHAGENCO</t>
  </si>
  <si>
    <t>AP-Energy saving certificates Trading</t>
  </si>
  <si>
    <t>GR/IR Coal Freight Clearing Account -Railways</t>
  </si>
  <si>
    <t>GR / IR Coal Balance upload</t>
  </si>
  <si>
    <t>GR/IR Clearing-Raw Coal</t>
  </si>
  <si>
    <t>GR/IR Clearing-Washed Coal</t>
  </si>
  <si>
    <t>GR/IR Clearing-Imported Coal</t>
  </si>
  <si>
    <t>GR/IR- Other Coal Rel Cost (Mater)</t>
  </si>
  <si>
    <t>GR/IR - AG Feeder</t>
  </si>
  <si>
    <t>GR/IR Freight payable-Oil</t>
  </si>
  <si>
    <t>GR/IR Clearing-Oil</t>
  </si>
  <si>
    <t>GR/IR Clearing-Oil-Ldo</t>
  </si>
  <si>
    <t>GR/IR Clearing-Oil-HSD</t>
  </si>
  <si>
    <t>GR/IR Clearing-Oil-FO</t>
  </si>
  <si>
    <t>GR/IR Clearing-Chemical (WTP)</t>
  </si>
  <si>
    <t>GR/IR Medicines</t>
  </si>
  <si>
    <t>GR/IR Clearing - Raw Water</t>
  </si>
  <si>
    <t>GR/IR Clearing - Gas</t>
  </si>
  <si>
    <t>GR/IR Gas Freight Clearing Account</t>
  </si>
  <si>
    <t>Provision For Coal Related Costs</t>
  </si>
  <si>
    <t>GR / IR Balance upload</t>
  </si>
  <si>
    <t>GR/IR Steel Freight Clearing Account</t>
  </si>
  <si>
    <t>GR/IR Project Freight Clearing Account</t>
  </si>
  <si>
    <t>GR/IR Clearing - Steel</t>
  </si>
  <si>
    <t>GR/IR Clearing - Cement</t>
  </si>
  <si>
    <t>GR/IR Clearing - Cables</t>
  </si>
  <si>
    <t>GR/IR Clearing - Services</t>
  </si>
  <si>
    <t>GR/IR Clearing - Spares and other material</t>
  </si>
  <si>
    <t>GR/IR clg- chemicals/consumable</t>
  </si>
  <si>
    <t>GR/IR clg- Customs</t>
  </si>
  <si>
    <t>GR/IR Clearing - Reg Staff welfare</t>
  </si>
  <si>
    <t>GR/IR Clearing - Office Stationery</t>
  </si>
  <si>
    <t>GR/IR-Canteen Exps (Material)</t>
  </si>
  <si>
    <t>GR/IR- Tel &amp; Mob Ex (Material)</t>
  </si>
  <si>
    <t>GR/IR- Entertainment Ex (Material)</t>
  </si>
  <si>
    <t>GR/IR-Exp on Meeti &amp; Conf (Mater)</t>
  </si>
  <si>
    <t>GR/IR-Upkeep of Office (Mate)</t>
  </si>
  <si>
    <t>GR/IR- Sec meas for saft (Material)</t>
  </si>
  <si>
    <t>Provision For Supply Of Materials / Works - O&amp;M</t>
  </si>
  <si>
    <t>Retentions</t>
  </si>
  <si>
    <t>Other Deposits</t>
  </si>
  <si>
    <t>Deposits received by MAHAGENCO</t>
  </si>
  <si>
    <t>Security Deposit</t>
  </si>
  <si>
    <t>Earnest money Deposit</t>
  </si>
  <si>
    <t>Securities-Consumers (FD)</t>
  </si>
  <si>
    <t>Deposits from Consumers</t>
  </si>
  <si>
    <t>Int Accrued but not due on WC</t>
  </si>
  <si>
    <t>Int Accrued but not due on Proj STL</t>
  </si>
  <si>
    <t>Int Accrued but not due on CAPEX STL</t>
  </si>
  <si>
    <t>Int Accrued but not due on LTL</t>
  </si>
  <si>
    <t>Interest accrued but not due on REC MTL for WC</t>
  </si>
  <si>
    <t>Int Accrued &amp; due on WC</t>
  </si>
  <si>
    <t>Int Accrued &amp; due on Proj STL</t>
  </si>
  <si>
    <t>Int Accrued &amp; due on CAPEX STL</t>
  </si>
  <si>
    <t>Int Accrued &amp; due on LTL</t>
  </si>
  <si>
    <t>Interest accrued and due on REC MTL for WC</t>
  </si>
  <si>
    <t>Amount payable to MSETCL</t>
  </si>
  <si>
    <t>Amount payable to MSEDCL</t>
  </si>
  <si>
    <t>Amount payable to MSEB HCL</t>
  </si>
  <si>
    <t>Deposits received by MAHAGENCO from MSEDCL</t>
  </si>
  <si>
    <t>Security Deposit received from MSEDCL</t>
  </si>
  <si>
    <t>Security Deposit received from MSETCL</t>
  </si>
  <si>
    <t>Retentions with MAHAGENCO of MSEB Holding Co.</t>
  </si>
  <si>
    <t>Retentions with MAHAGENCO of MSEDCL</t>
  </si>
  <si>
    <t>Provision for Fly ash utilisation Fund</t>
  </si>
  <si>
    <t>Other ch-third party sales</t>
  </si>
  <si>
    <t>Provision for Liability for Expenses</t>
  </si>
  <si>
    <t>Liability Reg unsuccessful Bank Transactions</t>
  </si>
  <si>
    <t>Foreign Exchange Bal. Re adjustment A/c</t>
  </si>
  <si>
    <t>Employees Notice Pay</t>
  </si>
  <si>
    <t>AP-Employees</t>
  </si>
  <si>
    <t>Unpaid Bonus</t>
  </si>
  <si>
    <t>EE Contribution towards PF</t>
  </si>
  <si>
    <t>Boards contribution to PF</t>
  </si>
  <si>
    <t>EE Contrib Mediclaim Top up</t>
  </si>
  <si>
    <t>Life insurance premium recovered</t>
  </si>
  <si>
    <t>Payroll Savings Scheme</t>
  </si>
  <si>
    <t>Credit Society</t>
  </si>
  <si>
    <t>Special Payroll Repayment</t>
  </si>
  <si>
    <t>Net salary payable</t>
  </si>
  <si>
    <t>Claims recoverable from employee</t>
  </si>
  <si>
    <t>Monthly Monetary Benefit Scheme</t>
  </si>
  <si>
    <t>Postal Life insurance</t>
  </si>
  <si>
    <t>DCPS Defined Contribution Pension Scheme</t>
  </si>
  <si>
    <t>DCPS EE Contribution GOVT liability</t>
  </si>
  <si>
    <t>Miscellaneous recoveries from staff</t>
  </si>
  <si>
    <t>Donation towards Natural Calamities</t>
  </si>
  <si>
    <t>Welfare Fund - Employee Contribution</t>
  </si>
  <si>
    <t>Contribution towards flag day</t>
  </si>
  <si>
    <t>Welfare Fund - Employer Contribution</t>
  </si>
  <si>
    <t>Perquisite Tax - Employer pymt</t>
  </si>
  <si>
    <t>Provision for Employee  Expenses</t>
  </si>
  <si>
    <t>Staff Welfare Fund</t>
  </si>
  <si>
    <t>General Provident Fund</t>
  </si>
  <si>
    <t>Note 20</t>
  </si>
  <si>
    <t>Current maturities of Capital Grant</t>
  </si>
  <si>
    <t>Income Tax deducted at source</t>
  </si>
  <si>
    <t>TDS - Insurance Commission</t>
  </si>
  <si>
    <t>TDS - Interest from bank</t>
  </si>
  <si>
    <t>TDS - Professional Fees</t>
  </si>
  <si>
    <t>TDS - Rent - Plant &amp; Ma</t>
  </si>
  <si>
    <t>TDS - Rent - Property</t>
  </si>
  <si>
    <t>TDS - Brokerage &amp; Commission</t>
  </si>
  <si>
    <t>TDS - Contract</t>
  </si>
  <si>
    <t>TDS-Foreign Payments</t>
  </si>
  <si>
    <t>TDS on interest(Unsecured Loans )</t>
  </si>
  <si>
    <t>TDS on Transfer of Immovable Property</t>
  </si>
  <si>
    <t>TDS on Purchase of Goods</t>
  </si>
  <si>
    <t>Income tax deducted at source - Contractors</t>
  </si>
  <si>
    <t>TCS on sale</t>
  </si>
  <si>
    <t>TCS Payable offset</t>
  </si>
  <si>
    <t>TCS collectible under Section 206C (1H)</t>
  </si>
  <si>
    <t>Works Contract Tax</t>
  </si>
  <si>
    <t>Service Tax liability &amp; Electricity duty payable</t>
  </si>
  <si>
    <t>TDS - Service Tax</t>
  </si>
  <si>
    <t>Swachh Bharat Cess (Reverse Charge)</t>
  </si>
  <si>
    <t>Krishi Kalyan Cess (Reverse Charge)</t>
  </si>
  <si>
    <t>Service tax payable</t>
  </si>
  <si>
    <t>Ser Tax Ecess Payable</t>
  </si>
  <si>
    <t>Ser Tax HECess Payable</t>
  </si>
  <si>
    <t>Swachh Bharat Cess (Output)</t>
  </si>
  <si>
    <t>Krishi Kalyan Cess (Output)</t>
  </si>
  <si>
    <t>Electricity Duty Payable</t>
  </si>
  <si>
    <t>Electricity duty payable</t>
  </si>
  <si>
    <t>ST payable on Elctr Duty</t>
  </si>
  <si>
    <t>GST Liability</t>
  </si>
  <si>
    <t>CGST (Reverse Charge) INPUT</t>
  </si>
  <si>
    <t>IGST (Reverse Charge) INPUT</t>
  </si>
  <si>
    <t>SGST (Reverse Charge) INPUT</t>
  </si>
  <si>
    <t>TDS-CGST</t>
  </si>
  <si>
    <t>TDS SGST</t>
  </si>
  <si>
    <t>TDS IGST</t>
  </si>
  <si>
    <t>TDS UTGST</t>
  </si>
  <si>
    <t>CGST OUTPUT ON SALES</t>
  </si>
  <si>
    <t>SGST OUTPUT ON SALES</t>
  </si>
  <si>
    <t>IGST OUTPUT ON SALES</t>
  </si>
  <si>
    <t>CGST - Output ESCerts</t>
  </si>
  <si>
    <t>SGST - Output ESCerts</t>
  </si>
  <si>
    <t>IGST - Output Rejected coal</t>
  </si>
  <si>
    <t>CGST - ITC ESCerts</t>
  </si>
  <si>
    <t>SGST - ITC ESCerts</t>
  </si>
  <si>
    <t>IGST - ITC ESCerts</t>
  </si>
  <si>
    <t>CGST - ITC Rejected coal</t>
  </si>
  <si>
    <t>SGST - ITC Rejected coal</t>
  </si>
  <si>
    <t>IGST - ITC Rejected coal</t>
  </si>
  <si>
    <t>ITC Coal Compensation Cess</t>
  </si>
  <si>
    <t>(CGST - ITC on Scrap sale</t>
  </si>
  <si>
    <t>(SGST - ITC on Scrap sale)</t>
  </si>
  <si>
    <t>CGST - ITC Chattisgarh</t>
  </si>
  <si>
    <t>SGST - ITC Chattisgarh</t>
  </si>
  <si>
    <t>IGST - ITC Chattisgarh</t>
  </si>
  <si>
    <t>GST RCM ON ADVANCE PAID</t>
  </si>
  <si>
    <t>CGST TCS</t>
  </si>
  <si>
    <t>SGST TCS</t>
  </si>
  <si>
    <t>IGST TCS</t>
  </si>
  <si>
    <t>Provision for Wealth Tax</t>
  </si>
  <si>
    <t>Profession Tax recovered</t>
  </si>
  <si>
    <t>Note 21</t>
  </si>
  <si>
    <t>Cash-WM</t>
  </si>
  <si>
    <t>Cash-HO</t>
  </si>
  <si>
    <t>Cash-BTPS</t>
  </si>
  <si>
    <t>Cash-CSTPS</t>
  </si>
  <si>
    <t>Cash-KTPS</t>
  </si>
  <si>
    <t>Cash-NTPS</t>
  </si>
  <si>
    <t>Cash-PSTPS</t>
  </si>
  <si>
    <t>Cash-PLTPS</t>
  </si>
  <si>
    <t>Cash-KDTPS</t>
  </si>
  <si>
    <t>Cash-UGTPS</t>
  </si>
  <si>
    <t>Cash-SE(Coal)Nagpur</t>
  </si>
  <si>
    <t>Cash-PHPC</t>
  </si>
  <si>
    <t>Cash-Bhira</t>
  </si>
  <si>
    <t>Cash-Panshet</t>
  </si>
  <si>
    <t>Cash-Tillari</t>
  </si>
  <si>
    <t>Cash-Pophali</t>
  </si>
  <si>
    <t>Cash-Yeldari</t>
  </si>
  <si>
    <t>Cash-G'ghar</t>
  </si>
  <si>
    <t>Cash-Vaitarna</t>
  </si>
  <si>
    <t>Cash-Bhatghar</t>
  </si>
  <si>
    <t>Cash-NHPC</t>
  </si>
  <si>
    <t>Cash-GCKoradi</t>
  </si>
  <si>
    <t>Cash-KPRJEXP</t>
  </si>
  <si>
    <t>Cash-PSPRJ</t>
  </si>
  <si>
    <t>Cash-CPRJ</t>
  </si>
  <si>
    <t>Cash-PLPRJ</t>
  </si>
  <si>
    <t>Cash-BPRJ</t>
  </si>
  <si>
    <t>Cash-KDPRJ</t>
  </si>
  <si>
    <t>Cash-CCVL</t>
  </si>
  <si>
    <t>Cash-PLCVL</t>
  </si>
  <si>
    <t>Cash-KDCVL</t>
  </si>
  <si>
    <t>Cash-KCVL</t>
  </si>
  <si>
    <t>Cash-PSCVL</t>
  </si>
  <si>
    <t>Cash-Bhusawal Civil</t>
  </si>
  <si>
    <t>Cash-Dhule Civil</t>
  </si>
  <si>
    <t>Main-ANB1-7003-WM</t>
  </si>
  <si>
    <t>Op-ANB1-7003-WM</t>
  </si>
  <si>
    <t>Main-BOB1A-0272-WM</t>
  </si>
  <si>
    <t>Op-BOB1A-0272-WM</t>
  </si>
  <si>
    <t>Main-BOI3A-0239-WM</t>
  </si>
  <si>
    <t>Op-BOI3A-0239-WM</t>
  </si>
  <si>
    <t>Main-BOI3B-0083-WM E freight A/C / CC Account</t>
  </si>
  <si>
    <t>Op-BOI3B-0083-WM E freight A/C / CC Account</t>
  </si>
  <si>
    <t>Main-BOI1B-0088-WM</t>
  </si>
  <si>
    <t>Op-BOI1B-0088-WM</t>
  </si>
  <si>
    <t>Main-BOI6-0050-WM</t>
  </si>
  <si>
    <t>OP-BOI6-0050-WM</t>
  </si>
  <si>
    <t>Op-BOI3C-0377-WM</t>
  </si>
  <si>
    <t>Op-BOI3D-0383-WM</t>
  </si>
  <si>
    <t>Main-CBI4-2025-WM</t>
  </si>
  <si>
    <t>Op-CBI4-2025-WM</t>
  </si>
  <si>
    <t>Main-DENA3-2601-WM</t>
  </si>
  <si>
    <t>Op-DENA3-2601-WM</t>
  </si>
  <si>
    <t>Main-HDFC1-2703-WM</t>
  </si>
  <si>
    <t>Op-HDFC1-2703-WM</t>
  </si>
  <si>
    <t>Main-HDFC2-5535-WM</t>
  </si>
  <si>
    <t>Op-HDFC2-5535-WM</t>
  </si>
  <si>
    <t>Main-HDFC3-5548-WM</t>
  </si>
  <si>
    <t>Op-HDFC3-5548-WM</t>
  </si>
  <si>
    <t>Main-HDFC4-7738-WM</t>
  </si>
  <si>
    <t>Op-HDFC4-7738-WM</t>
  </si>
  <si>
    <t>Main-IDBI1-0202-WM</t>
  </si>
  <si>
    <t>Op-IDBI1-0202-WM</t>
  </si>
  <si>
    <t>Main-MSCB1-7136-WM</t>
  </si>
  <si>
    <t>Op-MSCB1-7136-WM</t>
  </si>
  <si>
    <t>Main-SBH3-8643-WM</t>
  </si>
  <si>
    <t>Op-SBH3-8643-WM</t>
  </si>
  <si>
    <t>Main-SBI9-6566-WM</t>
  </si>
  <si>
    <t>Op-SBI9-6566-WM</t>
  </si>
  <si>
    <t>Main-SBI9D-7367-WM</t>
  </si>
  <si>
    <t>Op-SBI9D-7367-WM</t>
  </si>
  <si>
    <t>Main-SBI9A-6657-WM</t>
  </si>
  <si>
    <t>Op-SBI9A-6657-WM</t>
  </si>
  <si>
    <t>Main-SBI9G-7857-WM​​</t>
  </si>
  <si>
    <t>Op-SBI9G-7857-WM​</t>
  </si>
  <si>
    <t>Main-SBI9B-7947-WM</t>
  </si>
  <si>
    <t>Op-SBI9B-7947-WM</t>
  </si>
  <si>
    <t>Main-SBI9C-8978-WM</t>
  </si>
  <si>
    <t>Op-SBI9C-8978-WM</t>
  </si>
  <si>
    <t>Main-UBI2-1477-WM</t>
  </si>
  <si>
    <t>Op-UBI2-1477-WM</t>
  </si>
  <si>
    <t>Main-BOM1A-1284-WM</t>
  </si>
  <si>
    <t>Op-BOM1A-1284-WM</t>
  </si>
  <si>
    <t>Op-BOM5D-5055-WM</t>
  </si>
  <si>
    <t>Main-ICIC1-1256-WM</t>
  </si>
  <si>
    <t>Op-ICIC1-1256-WM</t>
  </si>
  <si>
    <t>Op-BOI3E-0400-WM ESCROW A/c for 50 MLD</t>
  </si>
  <si>
    <t>Main-PNB1-6466-WM</t>
  </si>
  <si>
    <t>Op-PNB1-6466-WM</t>
  </si>
  <si>
    <t>Main-BOM2-3753-HO</t>
  </si>
  <si>
    <t>Op-BOM2-3753-HO</t>
  </si>
  <si>
    <t>Main-NBOM7-3742-HO</t>
  </si>
  <si>
    <t>OP-NBOM7-3742-HO</t>
  </si>
  <si>
    <t>Main-AXB1-0365-HO</t>
  </si>
  <si>
    <t>Op-AXB1-0365-HO</t>
  </si>
  <si>
    <t>Main-SBI10-6566-HO</t>
  </si>
  <si>
    <t>OP-SBI10-6566-HO</t>
  </si>
  <si>
    <t>Main-NHDF1-2051-HO</t>
  </si>
  <si>
    <t>OP-NHDF1-2051-HO</t>
  </si>
  <si>
    <t>Main-BOI1A-0040-HO</t>
  </si>
  <si>
    <t>Op-BOI1A-0040-HO</t>
  </si>
  <si>
    <t>Main-BOI1C-0310-HO</t>
  </si>
  <si>
    <t>Op-BOI1C-0310-HO</t>
  </si>
  <si>
    <t>Main-CNB1A-2329-HO</t>
  </si>
  <si>
    <t>Op-CNB1A-2329-HO</t>
  </si>
  <si>
    <t>Main-ICIC2-2219-HO</t>
  </si>
  <si>
    <t>Op-ICIC2-2219-HO</t>
  </si>
  <si>
    <t>Main-HDFC1-2703-HO</t>
  </si>
  <si>
    <t>OP-HDFC1-2703-HO</t>
  </si>
  <si>
    <t>Main-HDFC2-5535-HO</t>
  </si>
  <si>
    <t>Op-HDFC2-5535-HO</t>
  </si>
  <si>
    <t>Main-HDFC3-5548-HO</t>
  </si>
  <si>
    <t>Op-HDFC3-5548-HO</t>
  </si>
  <si>
    <t>Main-HDFC4-7738-HO</t>
  </si>
  <si>
    <t>Op-HDFC4-7738-HO</t>
  </si>
  <si>
    <t>Cash in Transit - HO WM</t>
  </si>
  <si>
    <t>Revenue Stamp</t>
  </si>
  <si>
    <t>Main-CBI1A-7523-BTPS</t>
  </si>
  <si>
    <t>Op-CBI1A-7523-BTPS</t>
  </si>
  <si>
    <t>Main-NCBI1-7534-BTPS</t>
  </si>
  <si>
    <t>OP-NCBI1-7534-BTPS</t>
  </si>
  <si>
    <t>Main-SBI2-5920-BTPS</t>
  </si>
  <si>
    <t>Op-SBI2-5920-BTPS</t>
  </si>
  <si>
    <t>Main-BOI2B-3214-CSTPS</t>
  </si>
  <si>
    <t>Op-BOI2B-3214-CSTPS</t>
  </si>
  <si>
    <t>Main-NBOI3-3120-CSTPS</t>
  </si>
  <si>
    <t>OP-NBOI3-3120-CSTPS</t>
  </si>
  <si>
    <t>Main-SBI3B-7049-KTPS</t>
  </si>
  <si>
    <t>Op-SBI3B-7049-KTPS</t>
  </si>
  <si>
    <t>Main-NSBI8-7152-KTPS</t>
  </si>
  <si>
    <t>OP-NSBI8-7152-KTPS</t>
  </si>
  <si>
    <t>Main-NSB10-8939-KTPS</t>
  </si>
  <si>
    <t>OP-NSB10-8939-KTPS</t>
  </si>
  <si>
    <t>Main-BOB3-0147-NTPS</t>
  </si>
  <si>
    <t>Op-BOB3-0147-NTPS</t>
  </si>
  <si>
    <t>Main-NBOB3-0165-NTPS</t>
  </si>
  <si>
    <t>OP-NBOB3-0165-NTPS</t>
  </si>
  <si>
    <t>Main-BOB3A-0248-NTPS</t>
  </si>
  <si>
    <t>Op-BOB3A-0248-NTPS</t>
  </si>
  <si>
    <t>Main-SBI1-0030-PSTPS</t>
  </si>
  <si>
    <t>Op-SBI1-0030-PSTPS</t>
  </si>
  <si>
    <t>Main-NSBI9-0029-PSTPS</t>
  </si>
  <si>
    <t>OP-NSBI9-0029-PSTPS</t>
  </si>
  <si>
    <t>Main-NSBI9A-0050-PSTPS</t>
  </si>
  <si>
    <t>Op-NSBI9A-0050-PSTPS</t>
  </si>
  <si>
    <t>Main-BOM5-1076-PLTPS</t>
  </si>
  <si>
    <t>Op-BOM5-1076-PLTPS</t>
  </si>
  <si>
    <t>Main-NBOM2-1134-PLTPS</t>
  </si>
  <si>
    <t>OP-NBOM2-1134-PLTPS</t>
  </si>
  <si>
    <t>Main-SBI5-0425-PLTPS</t>
  </si>
  <si>
    <t>Op-SBI5-0425-PLTPS</t>
  </si>
  <si>
    <t>Main-NSBI7-7918-PLTPS</t>
  </si>
  <si>
    <t>OP-NSBI7-7918-PLTPS</t>
  </si>
  <si>
    <t>Main-DENA1-3930-KDTPS</t>
  </si>
  <si>
    <t>Op-DENA1-3930-KDTPS</t>
  </si>
  <si>
    <t>Op-BOI2C-0573-KDTPS</t>
  </si>
  <si>
    <t>Main-NDEN1-3892-KDTPS</t>
  </si>
  <si>
    <t>OP-NDEN1-3892-KDTPS</t>
  </si>
  <si>
    <t>Main-NBOI7-0073-KDTPS</t>
  </si>
  <si>
    <t>OP-NBOI7-0073-KDTPS</t>
  </si>
  <si>
    <t>Main-BOI4-0071-UGTPS</t>
  </si>
  <si>
    <t>Op-BOI4-0071-UGTPS</t>
  </si>
  <si>
    <t>Main-NBOI2-0072-UGTPS</t>
  </si>
  <si>
    <t>OP-NBOI2-0072-UGTPS</t>
  </si>
  <si>
    <t>Main-BOM7-0190-UGTPS</t>
  </si>
  <si>
    <t>Op-BOM7-0190-UGTPS</t>
  </si>
  <si>
    <t>Main-NBOM4-0203-UGTPS</t>
  </si>
  <si>
    <t>OP-NBOM4-0203-UGTPS</t>
  </si>
  <si>
    <t>Main-NBOM5-6743-Uran GTPS</t>
  </si>
  <si>
    <t>OP-NBOM5-6743-Uran GTPS</t>
  </si>
  <si>
    <t>Main-CNB2-0988-COAL</t>
  </si>
  <si>
    <t>Op-CNB2-0988-COAL</t>
  </si>
  <si>
    <t>Main-SYND1-0019-Coal</t>
  </si>
  <si>
    <t>Op-SYND1-0019-Coal</t>
  </si>
  <si>
    <t>Main-ANB2-0250-COAL</t>
  </si>
  <si>
    <t>Op-ANB2-0250-COAL</t>
  </si>
  <si>
    <t>Main-NANB-2336-COAL</t>
  </si>
  <si>
    <t>OP-NANB-2336-COAL</t>
  </si>
  <si>
    <t>Main-BOI3-0025-COAL</t>
  </si>
  <si>
    <t>Op-BOI3-0025-COAL</t>
  </si>
  <si>
    <t>Main-NBOI8-0109-COAL</t>
  </si>
  <si>
    <t>Op-NBOI8-0109-COAL</t>
  </si>
  <si>
    <t>Main-BOM6-4120-COAL</t>
  </si>
  <si>
    <t>Op-BOM6-4120-COAL</t>
  </si>
  <si>
    <t>Main-SBI6A-6510-NTPS</t>
  </si>
  <si>
    <t>Op-SBI6A-6510-NTPS</t>
  </si>
  <si>
    <t>Main-SBI6B-5618-NTPS</t>
  </si>
  <si>
    <t>Op-SBI6B-5618-NTPS</t>
  </si>
  <si>
    <t>Main-BOB2-0320-PHPC</t>
  </si>
  <si>
    <t>Op-BOB2-0320-PHPC</t>
  </si>
  <si>
    <t>Main-BOI1C-0528-PHPC</t>
  </si>
  <si>
    <t>Op-BOI1C-0528-PHPC</t>
  </si>
  <si>
    <t>Main-NBOB2-0426-PHPC</t>
  </si>
  <si>
    <t>Op-NBOB2-0426-PHPC</t>
  </si>
  <si>
    <t>Main-BOM3-0442-Bhira</t>
  </si>
  <si>
    <t>Op-BOM3-0442-Bhira</t>
  </si>
  <si>
    <t>Main-NBOM8-0431-Bhira</t>
  </si>
  <si>
    <t>OP-NBOM8-0431-Bhira</t>
  </si>
  <si>
    <t>Main-BOM4-0014-Panshet</t>
  </si>
  <si>
    <t>Op-BOM4-0014-Panshet</t>
  </si>
  <si>
    <t>Main-NBOM1-0003-Panshet</t>
  </si>
  <si>
    <t>OP-NBOM1-0003-Panshet</t>
  </si>
  <si>
    <t>Main-BOI5-0081-Tillari</t>
  </si>
  <si>
    <t>OP-BOI5-0081-Tillari</t>
  </si>
  <si>
    <t>Main-NBOI4-0080-Tillari</t>
  </si>
  <si>
    <t>OP-NBOI4-0080-Tillari</t>
  </si>
  <si>
    <t>Main-CBI2-1861-Pophali</t>
  </si>
  <si>
    <t>Op-CBI2-1861-Pophali</t>
  </si>
  <si>
    <t>Main-NCBI2-2923-Pophali</t>
  </si>
  <si>
    <t>OP-NCBI2-2923-Pophali</t>
  </si>
  <si>
    <t>Main-SBI6-6413-Pophali</t>
  </si>
  <si>
    <t>Op-SBI6-6413-Pophali</t>
  </si>
  <si>
    <t>Main-NSBI6-2048-Pophali</t>
  </si>
  <si>
    <t>OP-NSBI6-2048-Pophali</t>
  </si>
  <si>
    <t>Main-SBH2-2845-Yeldari</t>
  </si>
  <si>
    <t>Op-SBH2-2845-Yeldari</t>
  </si>
  <si>
    <t>Main-MGB1-9862-Yeldari</t>
  </si>
  <si>
    <t>Op-MGB1-9862-Yeldari</t>
  </si>
  <si>
    <t>Main-NSBH1-2437-Yeldari</t>
  </si>
  <si>
    <t>OP-NSBH1-2437-Yeldari</t>
  </si>
  <si>
    <t>Main-SBI6G-6205-Yeldari</t>
  </si>
  <si>
    <t>Op-SBI6G-6205-Yeldari</t>
  </si>
  <si>
    <t>Main-SBI7-8021-G'ghar</t>
  </si>
  <si>
    <t>Op-SBI7-8021-G'ghar</t>
  </si>
  <si>
    <t>Main-NSBI2-6578-G'ghar</t>
  </si>
  <si>
    <t>OP-NSBI2-6578-G'ghar</t>
  </si>
  <si>
    <t>Main-UBI1-2002-Vaitarna</t>
  </si>
  <si>
    <t>Op-UBI1-2002-Vaitarna</t>
  </si>
  <si>
    <t>Op-BOI1E-0244-Vaitarna</t>
  </si>
  <si>
    <t>Main-NUBI-2001-Vaitarna</t>
  </si>
  <si>
    <t>OP-NUBI-2001-Vaitarna</t>
  </si>
  <si>
    <t>Main-BOB4-0016-Bhatghar</t>
  </si>
  <si>
    <t>Op-BOB4-0016-Bhatghar</t>
  </si>
  <si>
    <t>Main-SBI6F-4907-Bhatghar</t>
  </si>
  <si>
    <t>Op-SBI6F-4907-Bhatghar</t>
  </si>
  <si>
    <t>Main-NBOB4-0017-Bhatghar</t>
  </si>
  <si>
    <t>OP-NBOB4-0017-Bhatghar</t>
  </si>
  <si>
    <t>Main-BOB1-0234-NHPC</t>
  </si>
  <si>
    <t>Op-BOB1-0234-NHPC</t>
  </si>
  <si>
    <t>Main-NBOB1-0235-NHPC</t>
  </si>
  <si>
    <t>Op-SBI6C-2209-NHPC</t>
  </si>
  <si>
    <t>OP-NBOB1-0235-NHPC</t>
  </si>
  <si>
    <t>Main-SBI3A-1207-GCKoradi</t>
  </si>
  <si>
    <t>Op-SBI3A-1207-GCKoradi</t>
  </si>
  <si>
    <t>Main-NSBI3-9232-GCKoradi</t>
  </si>
  <si>
    <t>Op-NSBI3-9232-GCKoradi</t>
  </si>
  <si>
    <t>Main-SBI3D-7406-GCKoradi</t>
  </si>
  <si>
    <t>Op-SBI3D-7406-GCKoradi</t>
  </si>
  <si>
    <t>Main-SBI3C-7959-KPRJEXP</t>
  </si>
  <si>
    <t>Op-SBI3C-7959-KPRJEXP</t>
  </si>
  <si>
    <t>Main-NSBI0-8329-KPRJEXP</t>
  </si>
  <si>
    <t>OP-NSBI0-8329-KPRJEXP</t>
  </si>
  <si>
    <t>Main-NSB11-7678-KPRJEXP</t>
  </si>
  <si>
    <t>OP-NSB11-7678-KPRJEXP</t>
  </si>
  <si>
    <t>Main-SBI1A-0052-PSPRJ</t>
  </si>
  <si>
    <t>Op-SBI1A-0052-PSPRJ</t>
  </si>
  <si>
    <t>Main-NSBI4-0041-PSPRJ</t>
  </si>
  <si>
    <t>OP-NSBI4-0041-PSPRJ</t>
  </si>
  <si>
    <t>Main-NSB14A-7177-PSPRJ</t>
  </si>
  <si>
    <t>Op-NSB14A-7177-PSPRJ</t>
  </si>
  <si>
    <t>Main-BOI2A-0043-CPRJ</t>
  </si>
  <si>
    <t>Op-BOI2A-0043-CPRJ</t>
  </si>
  <si>
    <t>Main-NBOI1-0042-CPRJ</t>
  </si>
  <si>
    <t>OP-NBOI1-0042-CPRJ</t>
  </si>
  <si>
    <t>Main-BOM5B-1178-PLPRJ</t>
  </si>
  <si>
    <t>Op-BOM5B-1178-PLPRJ</t>
  </si>
  <si>
    <t>Main-NBOM6-1189-PLPRJ</t>
  </si>
  <si>
    <t>OP-NBOM6-1189-PLPRJ</t>
  </si>
  <si>
    <t>Main-NBOM9-3263-PLPRJ</t>
  </si>
  <si>
    <t>OP-NBOM9-3263-PLPRJ</t>
  </si>
  <si>
    <t>Main-SBH1-0397-PLPRJ</t>
  </si>
  <si>
    <t>Op-SBH1-0397-PLPRJ</t>
  </si>
  <si>
    <t>Main-CBI3-6928-BPRJ</t>
  </si>
  <si>
    <t>Op-CBI3-6928-BPRJ</t>
  </si>
  <si>
    <t>Main-NCBI4-6939-BPRJ</t>
  </si>
  <si>
    <t>OP-NCBI4-6939-BPRJ</t>
  </si>
  <si>
    <t>Main-SBI8-5239-KdPRJ</t>
  </si>
  <si>
    <t>Op-SBI8-5239-KdPRJ</t>
  </si>
  <si>
    <t>Main-NSBI1-9098-KdPRJ</t>
  </si>
  <si>
    <t>OP-NSBI1-9098-KdPRJ</t>
  </si>
  <si>
    <t>Main-NSB13-7104-KdPrj</t>
  </si>
  <si>
    <t>OP-NSB13-7104-KdPrj</t>
  </si>
  <si>
    <t>Main-BOI2-0037-CCVL</t>
  </si>
  <si>
    <t>Op-BOI2-0037-CCVL</t>
  </si>
  <si>
    <t>Main-NBOI6-0038-CCVL</t>
  </si>
  <si>
    <t>OP-NBOI6-0038-CCVL</t>
  </si>
  <si>
    <t>Main-NBOI9-0083-CCVL</t>
  </si>
  <si>
    <t>Op-NBOI9-0083-CCVL</t>
  </si>
  <si>
    <t>Main-BOM5A-1098-PLCVL</t>
  </si>
  <si>
    <t>Op-BOM5A-1098-PLCVL</t>
  </si>
  <si>
    <t>Main-SBI5A-0870-Parli Civil</t>
  </si>
  <si>
    <t>Op-SBI5A-0870-Parli Civil</t>
  </si>
  <si>
    <t>Main-NBOM3-1101-PLCVL</t>
  </si>
  <si>
    <t>OP-NBOM3-1101-PLCVL</t>
  </si>
  <si>
    <t>Main-SBI5B-8198-Parli Civil</t>
  </si>
  <si>
    <t>Op-SBI5B-8198-Parli Civil</t>
  </si>
  <si>
    <t>Main-DENA2-3937-KDCVL</t>
  </si>
  <si>
    <t>Op-DENA2-3937-KDCVL</t>
  </si>
  <si>
    <t>Main-NDEN2-3938-KDCVL</t>
  </si>
  <si>
    <t>OP-NDEN2-3938-KDCVL</t>
  </si>
  <si>
    <t>Main-NDEN3-3800-KDCVL</t>
  </si>
  <si>
    <t>Op-NDEN3-3800-KDCVL</t>
  </si>
  <si>
    <t>Main-SBI3-0073-KCVL</t>
  </si>
  <si>
    <t>Op-SBI3-0073-KCVL</t>
  </si>
  <si>
    <t>Main-NSBI-1174-KCVL</t>
  </si>
  <si>
    <t>OP-NSBI-1174-KCVL</t>
  </si>
  <si>
    <t>Main -NSB15-8035-KCVL</t>
  </si>
  <si>
    <t>OP -NSB15-8035-KCVL</t>
  </si>
  <si>
    <t>Main-SBI4-0074-PSCVL</t>
  </si>
  <si>
    <t>Op-SBI4-0074-PSCVL</t>
  </si>
  <si>
    <t>Main-NSBI5-0063-PSCVL</t>
  </si>
  <si>
    <t>OP-NSBI5-0063-PSCVL</t>
  </si>
  <si>
    <t>Main-NSB12-0705-PSCVL</t>
  </si>
  <si>
    <t>OP-NSB12-0705-PSCVL</t>
  </si>
  <si>
    <t>Main-CBI1-6921-Bhusawal Civil</t>
  </si>
  <si>
    <t>Op-CBI1-6921-Bhusawal Civil</t>
  </si>
  <si>
    <t>Main-NCBI3-6932-Bhusawal Civil</t>
  </si>
  <si>
    <t>OP-NCBI3-6932-Bhusawal Civil</t>
  </si>
  <si>
    <t>Main-CBI5-1525-Dhule CVL</t>
  </si>
  <si>
    <t>OP-CBI5-1525-DHULE CVL</t>
  </si>
  <si>
    <t>Main-BOM5C-8039-PLCVL</t>
  </si>
  <si>
    <t>Op-BOM5C-8039-PLCVL</t>
  </si>
  <si>
    <t>Main-SBI6D-0620-KDCVL</t>
  </si>
  <si>
    <t>Op-SBI6D-0620-KDCVL</t>
  </si>
  <si>
    <t>Op-SBI6E-1023-KDCVL</t>
  </si>
  <si>
    <t>Current</t>
  </si>
  <si>
    <t>Non-Current</t>
  </si>
  <si>
    <t>LTL fm PFC - 21101011</t>
  </si>
  <si>
    <t>LTL fm PFC - 21101012</t>
  </si>
  <si>
    <t>LTL fm PFC - 21501001</t>
  </si>
  <si>
    <t>LTL fm PFC - 21501002</t>
  </si>
  <si>
    <t>LTL fm PFC - 21501003</t>
  </si>
  <si>
    <t>LTL fm PFC - 21104048</t>
  </si>
  <si>
    <t>LTL fm PFC - 21104049</t>
  </si>
  <si>
    <t>LTL fm PFC - 21104050</t>
  </si>
  <si>
    <t>LTL fm PFC - 21104051</t>
  </si>
  <si>
    <t>LTL fm PFC - 21104052</t>
  </si>
  <si>
    <t>LTL fm PFC - 21104053</t>
  </si>
  <si>
    <t>LTL fm PFC - 21104054</t>
  </si>
  <si>
    <t>LTL fm PFC - 21104062</t>
  </si>
  <si>
    <t>LTL fm PFC - 21105005</t>
  </si>
  <si>
    <t>LTL fm PFC - 21119010</t>
  </si>
  <si>
    <t>LTL fm PFC - 21504005</t>
  </si>
  <si>
    <t>LTL fm PFC - 21504006</t>
  </si>
  <si>
    <t>LTL fm PFC - 21101013</t>
  </si>
  <si>
    <t>LTL fm PFC - 21104064</t>
  </si>
  <si>
    <t>LTL fm PFC - 21104065</t>
  </si>
  <si>
    <t>LTL fm PFC - 21504007</t>
  </si>
  <si>
    <t>LTL fm PFC - 21504008</t>
  </si>
  <si>
    <t>LTL fm PFC - 21504009</t>
  </si>
  <si>
    <t>LTL fm PFC - 21504011</t>
  </si>
  <si>
    <t>LTL fm PFC - 21504012</t>
  </si>
  <si>
    <t>LTL fm PFC - 21504013</t>
  </si>
  <si>
    <t>LTL fm PFC - 21504015</t>
  </si>
  <si>
    <t>LTL fm PFC - 21504016</t>
  </si>
  <si>
    <t>LTL fm PFC - 21501005</t>
  </si>
  <si>
    <t>LTL fm PFC - 21504018</t>
  </si>
  <si>
    <t>LTL fm PFC - 21504017</t>
  </si>
  <si>
    <t>LTL frm PFC- 21501008-BSL Rep Proj(1x660 MW)</t>
  </si>
  <si>
    <t>LTL frm PFC- 21524001-Buyers Line of Credit for CA</t>
  </si>
  <si>
    <t>LTL frm PFC- 21504020 Parli TPS water Supply Schem</t>
  </si>
  <si>
    <t>LTL fm PFC-21504019 (R&amp;M of Koradi TPS Unit 5,6 &amp;7</t>
  </si>
  <si>
    <t>LTL fm PFC-21504021 (R&amp;M of Boiler &amp; Turbine impro</t>
  </si>
  <si>
    <t>LTL fm PFC-21504022 (R&amp;M of LP Turbine Retrofit of</t>
  </si>
  <si>
    <t>LTL fmPFC-21504023 (R&amp;M of C&amp;I system of Unit 5 &amp;6</t>
  </si>
  <si>
    <t>LTL fm PFC-21504024 (R&amp;M of Ash Handling System of</t>
  </si>
  <si>
    <t>LTL fm PFC-21504025 (R&amp;M of Condenser cooling syst</t>
  </si>
  <si>
    <t>LTL fm PFC-21504026 (R&amp;M of Complete Track Renewal</t>
  </si>
  <si>
    <t>LTL fm PFC-21504027 (R&amp;M of Fully Integrated Secur</t>
  </si>
  <si>
    <t>LTL fm PFC-21504028 (Procurement and replacement o</t>
  </si>
  <si>
    <t>PFC-21504029 (R&amp;M of Process improvement of Unit 3</t>
  </si>
  <si>
    <t>PFC-21504030 (R&amp;M of Measuring &amp; monitoring of Coa</t>
  </si>
  <si>
    <t>PFC-21504031 (R&amp;M of Boiler &amp; Turbine Improvement</t>
  </si>
  <si>
    <t>PFC-21504032 (R&amp;M of Turbine Auxiliary Performance</t>
  </si>
  <si>
    <t>PFC-21504033 (R&amp;M of Replacement of Economiser coi</t>
  </si>
  <si>
    <t>PFC-21504034 (R&amp;M of Replacement of BFP (200 KHI)</t>
  </si>
  <si>
    <t>PFC-21504035 (R&amp;M of various improvement schemes r</t>
  </si>
  <si>
    <t>PFC-21504036 (R&amp;M of Rail Tracks for Coal Handling</t>
  </si>
  <si>
    <t>PFC-21504037 (Renovation &amp; Up-gradation of GT Auto</t>
  </si>
  <si>
    <t>PFC-21504038 ((Procurement of High Pressure Turbin</t>
  </si>
  <si>
    <t>PFC-21504039 (R&amp;M of Turbine Auxiliary Consumption</t>
  </si>
  <si>
    <t>PFC-21504040 (Construction of Concrete Road from N</t>
  </si>
  <si>
    <t>PFC-21504041 (Construction of Coal platform for Ch</t>
  </si>
  <si>
    <t>PFC-21504042 (Expediting unloading of Coal Wagons</t>
  </si>
  <si>
    <t>PFC-21504043 (Various Schemes of KGSC, Pophali</t>
  </si>
  <si>
    <t>PFC-21504044 (Power supply arrangement at Colony</t>
  </si>
  <si>
    <t>PFC-21504045 (Various Schemes of Small Hydro Stati</t>
  </si>
  <si>
    <t>PFC-21504046 (R&amp;M work at Koyna HPS)</t>
  </si>
  <si>
    <t>PFC-21504047 (Various performance improvement sche</t>
  </si>
  <si>
    <t>PFC-21504048 ((Raising of Ash bund from 273.630m t</t>
  </si>
  <si>
    <t>PFC-21504049 (R&amp;M of CHP and Station requirement,</t>
  </si>
  <si>
    <t>PFC-21504050 (Plant performance, Raising of Ash bu</t>
  </si>
  <si>
    <t>PFC-21504051 (Various performance improvement sche</t>
  </si>
  <si>
    <t>PFC-21504052 (Procurement of Energy efficient HT M</t>
  </si>
  <si>
    <t>PFC-21504053  (Boiler Process improvement, Air-pre</t>
  </si>
  <si>
    <t>PFC-21504054 (Procurement, replacement &amp; performan</t>
  </si>
  <si>
    <t>PFC Loan No. 21504081 - Pipe Conveyor system for t</t>
  </si>
  <si>
    <t>MTL fm PFC -21571003 (MTL for Working C</t>
  </si>
  <si>
    <t>PFC LTL-21504092 (Capex-Paras TPS)</t>
  </si>
  <si>
    <t>PFC LTL-21504093 (Capex-Parli TPS)</t>
  </si>
  <si>
    <t>PFC LTL-21504098 (FGD install. Khaperkh</t>
  </si>
  <si>
    <t>PFC LTL-21504099 (FGD install. Koradi T</t>
  </si>
  <si>
    <t>PFC LTL-21504087 (FGD install. Paras TP</t>
  </si>
  <si>
    <t>PFC LTL-21504089 (FGD install. Parli TP</t>
  </si>
  <si>
    <t>PFC MTL-21571004(For Import Coal)</t>
  </si>
  <si>
    <t>PFC LTL-21504101 (ESP Khaperkheda TPS U</t>
  </si>
  <si>
    <t>PFC LTL-21504102 (ESP Khaperkheda TPS U</t>
  </si>
  <si>
    <t>PFC MTL-21571005(For Import Coal)</t>
  </si>
  <si>
    <t>PFC MTL-21571006(For Import Coal)</t>
  </si>
  <si>
    <t>Unsecured</t>
  </si>
  <si>
    <t>LTL fm PFC - 21101008</t>
  </si>
  <si>
    <t>LTL fm PFC - 21101009</t>
  </si>
  <si>
    <t>LTL fm PFC - 21101010</t>
  </si>
  <si>
    <t>LTL fm PFC - 21104023</t>
  </si>
  <si>
    <t>LTL fm PFC - 21104024</t>
  </si>
  <si>
    <t>LTL fm PFC - 21104025</t>
  </si>
  <si>
    <t>LTL fm PFC - 21104026</t>
  </si>
  <si>
    <t>LTL fm PFC - 21104027</t>
  </si>
  <si>
    <t>LTL fm PFC - 21104029</t>
  </si>
  <si>
    <t>LTL fm PFC - 21104030</t>
  </si>
  <si>
    <t>LTL fm PFC - 21104031</t>
  </si>
  <si>
    <t>LTL fm PFC - 21104032</t>
  </si>
  <si>
    <t>LTL fm PFC - 21104033</t>
  </si>
  <si>
    <t>LTL fm PFC - 21104034</t>
  </si>
  <si>
    <t>LTL fm PFC - 21104035</t>
  </si>
  <si>
    <t>LTL fm PFC - 21104036</t>
  </si>
  <si>
    <t>LTL fm PFC - 21104037</t>
  </si>
  <si>
    <t>LTL fm PFC - 21104038</t>
  </si>
  <si>
    <t>LTL fm PFC - 21104039</t>
  </si>
  <si>
    <t>LTL fm PFC - 21104041</t>
  </si>
  <si>
    <t>LTL fm PFC - 21104042</t>
  </si>
  <si>
    <t>LTL fm PFC - 21104043</t>
  </si>
  <si>
    <t>LTL fm PFC - 21104045</t>
  </si>
  <si>
    <t>LTL fm PFC - 21104046</t>
  </si>
  <si>
    <t>LTL fm PFC - 21104057</t>
  </si>
  <si>
    <t>LTL fm PFC - 21104059</t>
  </si>
  <si>
    <t>LTL fm PFC - 21104060</t>
  </si>
  <si>
    <t>LTL fm PFC - 21104061</t>
  </si>
  <si>
    <t>LTL fm PFC - 21104063</t>
  </si>
  <si>
    <t>LTL fm PFC - 21105004</t>
  </si>
  <si>
    <t>LTL fm PFC - 21105007</t>
  </si>
  <si>
    <t>LTL fm PFC - 21105008</t>
  </si>
  <si>
    <t>LTL fm PFC - 21119006</t>
  </si>
  <si>
    <t>LTL fm REC - C-90001</t>
  </si>
  <si>
    <t>LTL fm REC - C-90002</t>
  </si>
  <si>
    <t>LTL fm REC - C-90003</t>
  </si>
  <si>
    <t>REC-MH-6126 (Combustion Optimisation &amp; Process imp</t>
  </si>
  <si>
    <t>REC-MH-6135 (HP Turbine Module for Unit 1&amp;2 of Kha</t>
  </si>
  <si>
    <t>REC-MH-6138 (Burner Management System for Parli TP</t>
  </si>
  <si>
    <t>REC-MH-6139 (ESP Restoration for Unit 5,6 &amp; 7 - Ch</t>
  </si>
  <si>
    <t>REC-MH-6151 (Turbine Auxiliary Consumption improve</t>
  </si>
  <si>
    <t>REC-MH-6152 (Coal consumption measurement &amp; monito</t>
  </si>
  <si>
    <t>REC-MH-6155 (Combustion Optimisation &amp; Process imp</t>
  </si>
  <si>
    <t>REC-MH-6157 (Replacement of Economiser Upper &amp; Low</t>
  </si>
  <si>
    <t>REC-MH-6158 (Input Source Measurement for Chandrap</t>
  </si>
  <si>
    <t>LT Loan from REC-Debt Refinancing-Koradi Project</t>
  </si>
  <si>
    <t>STP Plant - Koradi Project REC-LT-12528</t>
  </si>
  <si>
    <t>REC LT -12856(Capex All TPS)</t>
  </si>
  <si>
    <t>REC LT -12881(Capex All TPS)</t>
  </si>
  <si>
    <t>REC LT -12882(Capex Bhusawal TPS)</t>
  </si>
  <si>
    <t>REC LT -12883(Capex Bhusawal TPS)</t>
  </si>
  <si>
    <t>REC LT -12884(Capex All TPS)</t>
  </si>
  <si>
    <t>REC LT -12885(Capex Chandrapur STPS)</t>
  </si>
  <si>
    <t>REC LT -12886(Capex Chandrapur STPS)</t>
  </si>
  <si>
    <t>REC LT -12887(Capex Chandrapur STPS)</t>
  </si>
  <si>
    <t>REC LT -12888(Capex Chandrapur STPS)</t>
  </si>
  <si>
    <t>REC LT -12889(Capex Chandrapur STPS)</t>
  </si>
  <si>
    <t>REC LT -12890(Capex Chandrapur STPS)</t>
  </si>
  <si>
    <t>REC LT -12891(Capex Chandrapur STPS)</t>
  </si>
  <si>
    <t>REC LT -12892(Capex Chandrapur STPS)</t>
  </si>
  <si>
    <t>REC LT -12893(Capex Chandrapur STPS)</t>
  </si>
  <si>
    <t>REC LT -12894(Capex Chandrapur STPS)</t>
  </si>
  <si>
    <t>REC LT -12895(Capex Khaperkheda TPS)</t>
  </si>
  <si>
    <t>REC LT -12896(Capex Khaperkheda TPS)</t>
  </si>
  <si>
    <t>REC LT -12897(Capex Khaperkheda TPS)</t>
  </si>
  <si>
    <t>REC LT -12898(Capex Khaperkheda TPS)</t>
  </si>
  <si>
    <t>REC LT -12899(Capex Khaperkheda TPS)</t>
  </si>
  <si>
    <t>REC LT -12901(Capex Koradi TPS)</t>
  </si>
  <si>
    <t>REC LT -12902(Capex Chandrapur STPS)</t>
  </si>
  <si>
    <t>REC LT -12903(Capex Nashik TPS)</t>
  </si>
  <si>
    <t>REC LT -12904(Capex Pophali HPS)</t>
  </si>
  <si>
    <t>REC LT -12906(Capex Nashik TPS)</t>
  </si>
  <si>
    <t>REC LT -12907(Capex Chandrapur STPS)</t>
  </si>
  <si>
    <t>REC LT -12909(Capex Nashik TPS)</t>
  </si>
  <si>
    <t>REC LT -12910(Capex Nashik TPS)</t>
  </si>
  <si>
    <t>REC LT -12912(Capex Nashik TPS)</t>
  </si>
  <si>
    <t>REC LT -12915(Capex Paras TPS)</t>
  </si>
  <si>
    <t>REC LT -12917(Capex Paras TPS)</t>
  </si>
  <si>
    <t>REC LT -12918(Capex Parli TPS)</t>
  </si>
  <si>
    <t>REC LT -12919(Capex Parli TPS)</t>
  </si>
  <si>
    <t>REC LT -12920(Capex Pophali HPS)</t>
  </si>
  <si>
    <t>REC LT -12921(Capex Uran GTPS)</t>
  </si>
  <si>
    <t>REC LT -12922(Capex Paras TPS)</t>
  </si>
  <si>
    <t>REC LT-12926 (Capex - All TPS)</t>
  </si>
  <si>
    <t>REC LT-12927 (Capex - Chandrapur STPS)</t>
  </si>
  <si>
    <t>REC LT-12928 (Capex - Chandrapur STPS)</t>
  </si>
  <si>
    <t>REC LT-12929(Capex - Chandrapur STPS)</t>
  </si>
  <si>
    <t>REC LT-12930(Capex - Khaperkheda TPS</t>
  </si>
  <si>
    <t>REC LT-12931(Capex - Khaperkheda TPS</t>
  </si>
  <si>
    <t>REC LT-12932 (Capex -  Koradi TPS)</t>
  </si>
  <si>
    <t>REC LT-12933(Capex - Nashik TPS)</t>
  </si>
  <si>
    <t>REC LT-12934(Capex - Paras TPS)</t>
  </si>
  <si>
    <t>REC LT-12935(Capex - Parli TPS)</t>
  </si>
  <si>
    <t>REC LT-12936(Capex - Parli TPS)</t>
  </si>
  <si>
    <t>REC LT-12937(Capex - Hydro Power Stations-Pune</t>
  </si>
  <si>
    <t>REC LT-12938(Capex - Koradi TPS)</t>
  </si>
  <si>
    <t>REC LT-13352(Capex - Bhusawal TPS)</t>
  </si>
  <si>
    <t>REC LT-13353(Capex - Bhusawal TPS)</t>
  </si>
  <si>
    <t>REC LT-13354(Capex - Nashik TPS)</t>
  </si>
  <si>
    <t>REC LT-13355 (Capex - Uran GTPS)</t>
  </si>
  <si>
    <t>REC LT-13356(Capex - Uran GTPS)</t>
  </si>
  <si>
    <t>REC LT-13357(Capex - Koyna HPS)</t>
  </si>
  <si>
    <t>REC LT-13358(Capex - Chandrapur STPS)</t>
  </si>
  <si>
    <t>REC LT-13359(Capex - Koyna HPS)</t>
  </si>
  <si>
    <t>REC LT-13360(Capex - Nashik TPS)</t>
  </si>
  <si>
    <t>REC LT-13361(Capex - Khaperkheda TPS)</t>
  </si>
  <si>
    <t>REC LT-13362(Capex - Koradi TPS)</t>
  </si>
  <si>
    <t>REC LT-13363(Capex - Parli TPS)</t>
  </si>
  <si>
    <t>REC LT-13364(Capex - Khaperkheda TPS)</t>
  </si>
  <si>
    <t>REC LT-13365(Capex - Khaperkheda TPS)</t>
  </si>
  <si>
    <t>REC LT-13366(Capex - Hydro Power Stations-Nashik)</t>
  </si>
  <si>
    <t>REC LT-13367(Capex - Khaperkheda TPS)</t>
  </si>
  <si>
    <t>REC LT-13399 (Project-Bhusawal Repl. U-6)</t>
  </si>
  <si>
    <t>REC LT - 13989 (Capex - All TPS)</t>
  </si>
  <si>
    <t>REC LT - 13991 (Capex - Khaperkheda TPS</t>
  </si>
  <si>
    <t>REC LT - 13992 (Capex - Chandrapur STPS)</t>
  </si>
  <si>
    <t>REC LT - 13993 (Capex - Chandrapur STPS</t>
  </si>
  <si>
    <t>REC LT - 13994 (Capex - Bhusawal TPS)</t>
  </si>
  <si>
    <t>REC LT - 14007 (Capex - Ghatghar HPS)</t>
  </si>
  <si>
    <t>REC LT - 14020 (Capex - Khaperkheda TPS</t>
  </si>
  <si>
    <t>REC LT - 14021 (Capex - Nashik HPC)</t>
  </si>
  <si>
    <t>REC LT - 14028 (Capex - Nashik TPS)</t>
  </si>
  <si>
    <t>REC LT - 14062 (Capex - Uran GTPS)</t>
  </si>
  <si>
    <t>REC LT - 14235 (Capex - Koradi TPS)</t>
  </si>
  <si>
    <t>REC LT - 14494 (Capex - Bhusawal TPS)</t>
  </si>
  <si>
    <t>REC LT - 14496 (Capex - Uran GTPS)</t>
  </si>
  <si>
    <t>REC LT - 14500 (Capex - Khaperkheda TPS)</t>
  </si>
  <si>
    <t>REC LT - 14501 (Capex - Paras TPS U-4)</t>
  </si>
  <si>
    <t>REC LT - 14544 (Capex - Bhusawal TPS)</t>
  </si>
  <si>
    <t>REC LT - 14606 (Capex - Parli TPS)</t>
  </si>
  <si>
    <t>REC LT - 14612 (Capex - Parli TPS)</t>
  </si>
  <si>
    <t>REC LT - 14660 (Capex - Koradi TPS)</t>
  </si>
  <si>
    <t>REC LT - 14661 (Capex - Koradi TPS)</t>
  </si>
  <si>
    <t>REC LT - 14663 (Capex - Koradi TPS)</t>
  </si>
  <si>
    <t>REC LT - 14749 (Capex - Nashik HPC)</t>
  </si>
  <si>
    <t>REC LT - 14750 (Capex - Bhusawal TPS)</t>
  </si>
  <si>
    <t>REC LT - 14751 (Capex - All TPS)</t>
  </si>
  <si>
    <t>REC LT - 14753 (Capex - Paras TPS U-3)</t>
  </si>
  <si>
    <t>REC LT - 14755 (Capex - Parli TPS)</t>
  </si>
  <si>
    <t>REC LT - 14756 (Capex - Koyna HPS)</t>
  </si>
  <si>
    <t>REC MTL for WC 14843</t>
  </si>
  <si>
    <t>REC LT-15220-A3 (Chandrapur Proj)</t>
  </si>
  <si>
    <t>REC LT-14497 (Capex-Koyna HPS)</t>
  </si>
  <si>
    <t>REC LT-14498 (Capex-Koradi TPS)</t>
  </si>
  <si>
    <t>REC LT-14545(Capex-Chandrapur STPS)</t>
  </si>
  <si>
    <t>REC LT-14662(Capex-Koradi TPS)</t>
  </si>
  <si>
    <t>REC LT-14754(Capex-Paras TPS)</t>
  </si>
  <si>
    <t>REC LT-15058(Capex-Uran GTPS)</t>
  </si>
  <si>
    <t>REC LT-15061(Capex-Koradi TPS)</t>
  </si>
  <si>
    <t>REC LT-15063(Capex-Paras TPS)</t>
  </si>
  <si>
    <t>REC LT-15064(Capex-Parli TPS)</t>
  </si>
  <si>
    <t>REC LT-15065(Capex-Parli TPS)</t>
  </si>
  <si>
    <t>REC LT-15066(Capex-Koyna HPS)</t>
  </si>
  <si>
    <t>REC LT-15248(Capex-Koradi TPS)</t>
  </si>
  <si>
    <t>REC LT-15249(Capex-Parli TPS)</t>
  </si>
  <si>
    <t>REC LT-15270(Capex-Koradi TPS)</t>
  </si>
  <si>
    <t>REC LT-15439(Capex-Chandrapur STPS)</t>
  </si>
  <si>
    <t>REC LT-15441(Capex-Khaperkheda TPS)</t>
  </si>
  <si>
    <t>REC LT-15442(Capex-Khaperkheda TPS)</t>
  </si>
  <si>
    <t>REC LT-15444(Capex-Koradi TPS)</t>
  </si>
  <si>
    <t>REC MTL-15798 Working Capital</t>
  </si>
  <si>
    <t>REC MTL - Scheme 16035</t>
  </si>
  <si>
    <t>REC-14944 (Installation of FGD at Korad</t>
  </si>
  <si>
    <t>REC MTL-17111(For Import Coal)</t>
  </si>
  <si>
    <t>REC MTL- 17963 (For Import Coal)</t>
  </si>
  <si>
    <t xml:space="preserve">Current </t>
  </si>
  <si>
    <t>Less Provision</t>
  </si>
  <si>
    <t>Non Current</t>
  </si>
  <si>
    <t>Advance to O&amp;M Supplier</t>
  </si>
  <si>
    <t>Advance to Irrigation Dept. Net of Liability</t>
  </si>
  <si>
    <t>Liability against Irrigation department for Water charges (G/L 99231)</t>
  </si>
  <si>
    <t>Advance to fuel suppliers</t>
  </si>
  <si>
    <t>BDD</t>
  </si>
  <si>
    <t>ECL</t>
  </si>
  <si>
    <t>Trade Receivable</t>
  </si>
  <si>
    <t>Subsidiaries</t>
  </si>
  <si>
    <t>Less:- Expected Credit Loss on above</t>
  </si>
  <si>
    <t>Total A+B+C+D</t>
  </si>
  <si>
    <t>Vendor ID</t>
  </si>
  <si>
    <t>Vendor Name</t>
  </si>
  <si>
    <t>G/L</t>
  </si>
  <si>
    <t>G/L Description</t>
  </si>
  <si>
    <t>Amount</t>
  </si>
  <si>
    <t>MSEDCL</t>
  </si>
  <si>
    <t>Deposits paid by MAHAGENCO</t>
  </si>
  <si>
    <t>*</t>
  </si>
  <si>
    <t>Advance to suppliers</t>
  </si>
  <si>
    <t>Sub-Total</t>
  </si>
  <si>
    <t>MSETCL</t>
  </si>
  <si>
    <t>Capital Advance to supplier</t>
  </si>
  <si>
    <t>MSEB Holding Co.</t>
  </si>
  <si>
    <t>MAHARASHTRA STATE HOLDING COMPANY</t>
  </si>
  <si>
    <t>Related Party Cutomers</t>
  </si>
  <si>
    <t>Customer ID</t>
  </si>
  <si>
    <t>Customer Name</t>
  </si>
  <si>
    <t>MAHARASHTRA STATE ELECTRICITY DISTRIBUTION COMPANY LIMITED</t>
  </si>
  <si>
    <t>Debtors for revenue from sale of power</t>
  </si>
  <si>
    <t>MSEDCL Dhule (125MW)</t>
  </si>
  <si>
    <t>MSEDCL Baramati (50MW)</t>
  </si>
  <si>
    <t>MSEDCL Chnadrapur (1MW)</t>
  </si>
  <si>
    <t>THE CHIEF ENGINEER (RENEWABLE 7MW</t>
  </si>
  <si>
    <t>MSEDCL VASAI</t>
  </si>
  <si>
    <t>Executive Engineer, Bhandara</t>
  </si>
  <si>
    <t>AR-Others</t>
  </si>
  <si>
    <t>Dy. Executive Engineer, Parbhani</t>
  </si>
  <si>
    <t>Executive Engineer, Nagpur</t>
  </si>
  <si>
    <t>31389</t>
  </si>
  <si>
    <t>EXECUTIVE ENGINEER MSEDCL</t>
  </si>
  <si>
    <t>DCUSADV_RQ</t>
  </si>
  <si>
    <t>30947</t>
  </si>
  <si>
    <t>MSEDCL AURANGABAD</t>
  </si>
  <si>
    <t>MSEDCL ULHASNAGAR DIVISION</t>
  </si>
  <si>
    <t>MSEDCL Kalyan R Division</t>
  </si>
  <si>
    <t xml:space="preserve"> MSEDCL THANE URBAN CIRCLE</t>
  </si>
  <si>
    <t>MSEDCL PALGHAR</t>
  </si>
  <si>
    <t xml:space="preserve"> MSEDCL PANVEL URBAN CIRCLE</t>
  </si>
  <si>
    <t xml:space="preserve"> MSEDCL Ulhasnagar Div II</t>
  </si>
  <si>
    <t xml:space="preserve"> MSEDCL KANNAD</t>
  </si>
  <si>
    <t xml:space="preserve"> Sub-Total</t>
  </si>
  <si>
    <t>THE CHIEF ENGINEER (STU) MUMBAI -For reactive power</t>
  </si>
  <si>
    <t>Chief Engineer NAVI MUMBAI - For reactive power</t>
  </si>
  <si>
    <t>THE CHIEF ENGINEER STATE LOAD DISPATCH CENTRE</t>
  </si>
  <si>
    <t>URAN GTPS TRANSCO CUSTOMER</t>
  </si>
  <si>
    <t>Receivable-Power dom</t>
  </si>
  <si>
    <t>MAHAGENCO Profit &amp; Loss Grouping</t>
  </si>
  <si>
    <t>Gross Sale of Products</t>
  </si>
  <si>
    <t>Energy Charges</t>
  </si>
  <si>
    <t>Demand Charges</t>
  </si>
  <si>
    <t>Fuel Adjustment cost</t>
  </si>
  <si>
    <t>Add Supply Charges</t>
  </si>
  <si>
    <t>TOD Tariff EC - Other Customers</t>
  </si>
  <si>
    <t>P.F.Charges / Incentive</t>
  </si>
  <si>
    <t>Deviation Settlement Mechanism</t>
  </si>
  <si>
    <t>VSE Charges-Income</t>
  </si>
  <si>
    <t>Reactive Power</t>
  </si>
  <si>
    <t>Sale of Power- AG Solar</t>
  </si>
  <si>
    <t>Infirm Power</t>
  </si>
  <si>
    <t>Sale of Power FAC</t>
  </si>
  <si>
    <t>PLF Incentive process</t>
  </si>
  <si>
    <t>Revenue subsidy and grants</t>
  </si>
  <si>
    <t xml:space="preserve"> Sale of Fly Ash</t>
  </si>
  <si>
    <t>Sale of Fly.Ash</t>
  </si>
  <si>
    <t>Sale of Ash Road usage charges</t>
  </si>
  <si>
    <t>Sale of ash Electricity charges</t>
  </si>
  <si>
    <t>Sale of Ash - Infrasructure &amp; Development charges</t>
  </si>
  <si>
    <t>Interest on Deposits</t>
  </si>
  <si>
    <t>Late Payment Surcharge</t>
  </si>
  <si>
    <t>Interest on advance to employee -Recd</t>
  </si>
  <si>
    <t>Income from Investments</t>
  </si>
  <si>
    <t xml:space="preserve">Interest on securities </t>
  </si>
  <si>
    <t>Interest on advances to suppliers</t>
  </si>
  <si>
    <t>Interest in FD – Chandrapur 50 MLD STP</t>
  </si>
  <si>
    <t>Int in FD – Cash Margin for issue of Li</t>
  </si>
  <si>
    <t>Rental from contractors</t>
  </si>
  <si>
    <t>Land charges fm Contractors &amp; others</t>
  </si>
  <si>
    <t>Income rentals from staff quarter</t>
  </si>
  <si>
    <t>Grd rent on material lying in stores</t>
  </si>
  <si>
    <t>Profit on sale of assets/stores/scrap</t>
  </si>
  <si>
    <t>Revenue from sale of assets</t>
  </si>
  <si>
    <t>Sale of scrap</t>
  </si>
  <si>
    <t>Delayed payment charges</t>
  </si>
  <si>
    <t>Income on Energy saving certificate trading</t>
  </si>
  <si>
    <t>Registration fees</t>
  </si>
  <si>
    <t xml:space="preserve">Rebate / Discount earned   </t>
  </si>
  <si>
    <t>Recruitment- exam fees</t>
  </si>
  <si>
    <t>Income from Services</t>
  </si>
  <si>
    <t>HR Deputation</t>
  </si>
  <si>
    <t>HR Training Service</t>
  </si>
  <si>
    <t>Miscellaneous receipts</t>
  </si>
  <si>
    <t>Income of LD recovery</t>
  </si>
  <si>
    <t xml:space="preserve">Profit / Loss on Exchange variance                </t>
  </si>
  <si>
    <t xml:space="preserve">Loss on obsolescence of stores                    </t>
  </si>
  <si>
    <t>Unwinding of Grant</t>
  </si>
  <si>
    <t xml:space="preserve">Consumption Coal - Raw                            </t>
  </si>
  <si>
    <t>Consumption Coal - Washed</t>
  </si>
  <si>
    <t xml:space="preserve">Consumption Coal - Imported                       </t>
  </si>
  <si>
    <t xml:space="preserve">Coal handling contract charges                    </t>
  </si>
  <si>
    <t xml:space="preserve">Demurrage on coal wagons                          </t>
  </si>
  <si>
    <t xml:space="preserve">Siding charges                                    </t>
  </si>
  <si>
    <t xml:space="preserve">Payments to railway staff                         </t>
  </si>
  <si>
    <t>Payments to railway staff-Fixed</t>
  </si>
  <si>
    <t xml:space="preserve">Con-Other coal related costs                      </t>
  </si>
  <si>
    <t xml:space="preserve">Other coal related costs                          </t>
  </si>
  <si>
    <t xml:space="preserve">Stock shortages on physical verification of coal  </t>
  </si>
  <si>
    <t>Freight on Wash Coal Purchase</t>
  </si>
  <si>
    <t>Price Difference A/C - Coal</t>
  </si>
  <si>
    <t xml:space="preserve">Change in Inventory A/c                           </t>
  </si>
  <si>
    <t>Cost of Generation during trial stage</t>
  </si>
  <si>
    <t xml:space="preserve">Price Diff-chemicals, spares, medicines etc       </t>
  </si>
  <si>
    <t xml:space="preserve">Material Variance cost - Capital                  </t>
  </si>
  <si>
    <t xml:space="preserve">Coal cost variance A/c Dr. / Cr.                  </t>
  </si>
  <si>
    <t xml:space="preserve">Other fuel cost variance A/c Dr. / Cr.            </t>
  </si>
  <si>
    <t>Project - Material</t>
  </si>
  <si>
    <t>Project - Services</t>
  </si>
  <si>
    <t>Proj-Price diff</t>
  </si>
  <si>
    <t xml:space="preserve">    IPP Purchase of coal</t>
  </si>
  <si>
    <t>IPP Purchase of Power</t>
  </si>
  <si>
    <t xml:space="preserve">Gas-Internal Combustion                           </t>
  </si>
  <si>
    <t xml:space="preserve">Price Difference A/C - Gas                        </t>
  </si>
  <si>
    <t xml:space="preserve">Consumption Furnace oil                           </t>
  </si>
  <si>
    <t xml:space="preserve">Consumption of Light Diesel oil                   </t>
  </si>
  <si>
    <t xml:space="preserve">Consumption High Speed Diesel Oil                 </t>
  </si>
  <si>
    <t xml:space="preserve">Consumption of Oil ( Other )                      </t>
  </si>
  <si>
    <t xml:space="preserve">Oil handling contract charges                     </t>
  </si>
  <si>
    <t xml:space="preserve">Demurrage on oil receipts                         </t>
  </si>
  <si>
    <t>Commission to agents-Fixed</t>
  </si>
  <si>
    <t xml:space="preserve">Stock shortages on physical verification of oil   </t>
  </si>
  <si>
    <t xml:space="preserve">Price Difference A/C - Oil                        </t>
  </si>
  <si>
    <t xml:space="preserve">Price Difference A/C - Raw Water                  </t>
  </si>
  <si>
    <t xml:space="preserve">Cost of water - Raw                               </t>
  </si>
  <si>
    <t xml:space="preserve">Other Water related Costs                         </t>
  </si>
  <si>
    <t xml:space="preserve">Consumption-Chemical WTP                          </t>
  </si>
  <si>
    <t xml:space="preserve">Water cost variance A/c Dr. / Cr.                 </t>
  </si>
  <si>
    <t xml:space="preserve">    Salaries, Wages, Bonus, etc.</t>
  </si>
  <si>
    <t xml:space="preserve">Basic Salary                                      </t>
  </si>
  <si>
    <t xml:space="preserve">Grade Pay MG                                      </t>
  </si>
  <si>
    <t xml:space="preserve">Salaries- Apprentice                              </t>
  </si>
  <si>
    <t xml:space="preserve">Over Time                                         </t>
  </si>
  <si>
    <t xml:space="preserve">Dearness Allowance                                </t>
  </si>
  <si>
    <t xml:space="preserve">Other Allowances                                  </t>
  </si>
  <si>
    <t>Additional . Allowance - (Class-IV)</t>
  </si>
  <si>
    <t>System Allowance for Management cadre</t>
  </si>
  <si>
    <t xml:space="preserve">Fringe Benefit Allowance (FBA)                    </t>
  </si>
  <si>
    <t>Fringe Benefit (Admin)</t>
  </si>
  <si>
    <t>Fringe Benefit (Field)</t>
  </si>
  <si>
    <t xml:space="preserve">Rewards                                           </t>
  </si>
  <si>
    <t xml:space="preserve">Bonus &amp; Incentive                                 </t>
  </si>
  <si>
    <t xml:space="preserve">Ex-gratia Payments                                </t>
  </si>
  <si>
    <t>Ex-gratia Payment for Covid 19</t>
  </si>
  <si>
    <t>Lumpsum Grant - PAP</t>
  </si>
  <si>
    <t xml:space="preserve">       Contribution to Provident Fund </t>
  </si>
  <si>
    <t xml:space="preserve">       Gratuity, Leave Encashment  and Other                                                 
       Employee Benefits</t>
  </si>
  <si>
    <t xml:space="preserve">Earned Leave encashment                           </t>
  </si>
  <si>
    <t xml:space="preserve">Leave Encashment of Retirement                    </t>
  </si>
  <si>
    <t xml:space="preserve">Terminal Benefits Gratuity                        </t>
  </si>
  <si>
    <t xml:space="preserve">Short fall in P.F.Plan Assets                     </t>
  </si>
  <si>
    <t>DCPS Boards contribution Terminal Benefits</t>
  </si>
  <si>
    <t>ER CPF Share on Arrears</t>
  </si>
  <si>
    <t xml:space="preserve">    Employee Welfare Expenses</t>
  </si>
  <si>
    <t xml:space="preserve">Reimbursement of Expenses to Employees            </t>
  </si>
  <si>
    <t xml:space="preserve">Leave Travel Assistance                           </t>
  </si>
  <si>
    <t xml:space="preserve">Rent Expenditure for Employees Quarter            </t>
  </si>
  <si>
    <t xml:space="preserve">Honorarium                                        </t>
  </si>
  <si>
    <t xml:space="preserve">Remuneration for paper setting                    </t>
  </si>
  <si>
    <t xml:space="preserve">Staff Training Expenses                           </t>
  </si>
  <si>
    <t xml:space="preserve">IT payt-MSPGCL-Emp Perks                          </t>
  </si>
  <si>
    <t xml:space="preserve">Payment under Workmen's Compensation Act          </t>
  </si>
  <si>
    <t xml:space="preserve">Boards contribution under Welfare Act             </t>
  </si>
  <si>
    <t xml:space="preserve">Admin Ch. Emp Dep linked insu Scheme              </t>
  </si>
  <si>
    <t>Medicine Consumption PO Based</t>
  </si>
  <si>
    <t xml:space="preserve">Medical Expenses                                  </t>
  </si>
  <si>
    <t xml:space="preserve">Canteen Expenses                                  </t>
  </si>
  <si>
    <t xml:space="preserve">Con-Canteen Expenses                              </t>
  </si>
  <si>
    <t xml:space="preserve">Staff Welfare                                     </t>
  </si>
  <si>
    <t xml:space="preserve">Other Welfare Expenses                            </t>
  </si>
  <si>
    <t>Insurance premium payable under LIC group Team ass</t>
  </si>
  <si>
    <t>Contri-M.S.E.B Employees' Dependents Welfare Trust</t>
  </si>
  <si>
    <t xml:space="preserve">PF inspection n audit charges                     </t>
  </si>
  <si>
    <t xml:space="preserve">Pension paid to Ex-employees                      </t>
  </si>
  <si>
    <t>Covid 19 Compensation</t>
  </si>
  <si>
    <t>Interest</t>
  </si>
  <si>
    <t xml:space="preserve">Interest on Long Term Loans                       </t>
  </si>
  <si>
    <t>Interest on CC / OD</t>
  </si>
  <si>
    <t>Interest on STL WC</t>
  </si>
  <si>
    <t xml:space="preserve">Interest on STL CAPEX / Projects / Others         </t>
  </si>
  <si>
    <t>Interest on MTL for WC</t>
  </si>
  <si>
    <t xml:space="preserve">Interest on Short Term Loans                      </t>
  </si>
  <si>
    <t xml:space="preserve">Interest on LTL Others                            </t>
  </si>
  <si>
    <t xml:space="preserve">Interest to Vendors – MSME                        </t>
  </si>
  <si>
    <t xml:space="preserve">Interest to vendors – Other than MSME Vendors     </t>
  </si>
  <si>
    <t>Interest to Vendors â Baramati Solar</t>
  </si>
  <si>
    <t>Cost of raising finance - Stamp Duty</t>
  </si>
  <si>
    <t>Penal Interest</t>
  </si>
  <si>
    <t>Interest on late payment of Income Tax</t>
  </si>
  <si>
    <t>Interest on late payment of GST</t>
  </si>
  <si>
    <t xml:space="preserve">Cost of raising finance - Service Fees            </t>
  </si>
  <si>
    <t xml:space="preserve">Cost of raising finance - Commitment Charges      </t>
  </si>
  <si>
    <t xml:space="preserve">Government guarantee fees                         </t>
  </si>
  <si>
    <t>Government Inspection fees for company's installat</t>
  </si>
  <si>
    <t>Repairs and Maintenance on:-</t>
  </si>
  <si>
    <t>Plant &amp; machinery &amp; Building</t>
  </si>
  <si>
    <t xml:space="preserve">Steel Consumption - PO based                      </t>
  </si>
  <si>
    <t xml:space="preserve">Steel Consumption ( Non PO )                      </t>
  </si>
  <si>
    <t xml:space="preserve">Contractors charges                               </t>
  </si>
  <si>
    <t xml:space="preserve">Cement Consumption PO Based                       </t>
  </si>
  <si>
    <t xml:space="preserve">Spares Consumption - PO Based                     </t>
  </si>
  <si>
    <t xml:space="preserve">Spares - Material Non PO                          </t>
  </si>
  <si>
    <t>Ash Handling Expenses</t>
  </si>
  <si>
    <t>Repair &amp; Maintenance - Others</t>
  </si>
  <si>
    <t xml:space="preserve">Cable Network - PO Based                          </t>
  </si>
  <si>
    <t xml:space="preserve">Cable Network consumption - Non PO                </t>
  </si>
  <si>
    <t>Material Consumption for Pollution Control</t>
  </si>
  <si>
    <t>Pollution Control Services Expenses</t>
  </si>
  <si>
    <t xml:space="preserve">Insurance on fixed Assets                         </t>
  </si>
  <si>
    <t xml:space="preserve">Transit Insurance                                 </t>
  </si>
  <si>
    <t>Lubricants, consumables &amp; stores including obsolescence</t>
  </si>
  <si>
    <t xml:space="preserve">Consumption Lubricants &amp; consumables              </t>
  </si>
  <si>
    <t xml:space="preserve">Material Variance cost - O &amp; M                    </t>
  </si>
  <si>
    <t>Domestic Water</t>
  </si>
  <si>
    <t xml:space="preserve">Legal charges                                     </t>
  </si>
  <si>
    <t xml:space="preserve">Technical fees                                    </t>
  </si>
  <si>
    <t xml:space="preserve">Consultancy &amp; Other Professional charges          </t>
  </si>
  <si>
    <t>Bank Charges</t>
  </si>
  <si>
    <t>Other Bank Charges</t>
  </si>
  <si>
    <t xml:space="preserve">Bank Charges - for issue of LC / BG               </t>
  </si>
  <si>
    <t>Contribution towards assets not owned by Company / CSR expenditure</t>
  </si>
  <si>
    <t>Impairment of Financial Instrument</t>
  </si>
  <si>
    <t>Security measures for safety and protection contra</t>
  </si>
  <si>
    <t xml:space="preserve">Con-Tel &amp; Mobile Exp                              </t>
  </si>
  <si>
    <t xml:space="preserve">Telephones and Mobile Expenses                    </t>
  </si>
  <si>
    <t xml:space="preserve">Postage and Telegrams                             </t>
  </si>
  <si>
    <t xml:space="preserve">Directors Sitting Fees                            </t>
  </si>
  <si>
    <t xml:space="preserve">Audit Expenses                                    </t>
  </si>
  <si>
    <t xml:space="preserve">Conveyance Expenses                               </t>
  </si>
  <si>
    <t xml:space="preserve">Travelling Expenses                               </t>
  </si>
  <si>
    <t xml:space="preserve">Vehicle running expenses - Petrol &amp; Oil           </t>
  </si>
  <si>
    <t xml:space="preserve">Vehicle licence and Registration fees             </t>
  </si>
  <si>
    <t>Facilitation fees to MAHAGAMS</t>
  </si>
  <si>
    <t xml:space="preserve">Fees &amp; subscription                               </t>
  </si>
  <si>
    <t xml:space="preserve">Books &amp; periodicals                               </t>
  </si>
  <si>
    <t xml:space="preserve">Printing &amp; stationery                             </t>
  </si>
  <si>
    <t xml:space="preserve">Office Stationery                                 </t>
  </si>
  <si>
    <t xml:space="preserve">Advertisement expenses                            </t>
  </si>
  <si>
    <t xml:space="preserve">Electricity charges                               </t>
  </si>
  <si>
    <t xml:space="preserve">Con- Entertainment                                </t>
  </si>
  <si>
    <t xml:space="preserve">Entertainment                                     </t>
  </si>
  <si>
    <t xml:space="preserve">Con-Expd on meeting conference etc                </t>
  </si>
  <si>
    <t xml:space="preserve">Expenditure on meetings conferences etc           </t>
  </si>
  <si>
    <t xml:space="preserve">Consumption - Upkeep of office                    </t>
  </si>
  <si>
    <t xml:space="preserve">Expn On Consumer Billing                          </t>
  </si>
  <si>
    <t xml:space="preserve">Con-Security meas for safety &amp; protectio contract </t>
  </si>
  <si>
    <t xml:space="preserve">Miscellaneous exp                                 </t>
  </si>
  <si>
    <t xml:space="preserve">Rescheduling Charges                              </t>
  </si>
  <si>
    <t xml:space="preserve">Frieght                                           </t>
  </si>
  <si>
    <t>Vehicle running expenses - truck and delivery vans</t>
  </si>
  <si>
    <t xml:space="preserve">Octroi                                            </t>
  </si>
  <si>
    <t>Advertisement of tenders / notices and other purch</t>
  </si>
  <si>
    <t xml:space="preserve">Incidental Stores &amp; Material related Expenses     </t>
  </si>
  <si>
    <t>Expences on Energy saving certificate trading</t>
  </si>
  <si>
    <t>Price variation 76 Group</t>
  </si>
  <si>
    <t>Fines and Penalties</t>
  </si>
  <si>
    <t xml:space="preserve">Shortage on physical verification of Stocks       </t>
  </si>
  <si>
    <t xml:space="preserve">Compensation-injuries Death and damages - Staff   </t>
  </si>
  <si>
    <t>Compensation for injuries Death and damages - othe</t>
  </si>
  <si>
    <t xml:space="preserve">Loss due to theft or natural calamities           </t>
  </si>
  <si>
    <t xml:space="preserve">Write off deferred revenue expenditure            </t>
  </si>
  <si>
    <t xml:space="preserve">Difference due to rounding off                    </t>
  </si>
  <si>
    <t xml:space="preserve">Loss on sale of Fixed Assets                 </t>
  </si>
  <si>
    <t>Wealth Tax Expenditure</t>
  </si>
  <si>
    <t>Ash Utilisation Expenditure</t>
  </si>
  <si>
    <t>Loss due to scrapping</t>
  </si>
  <si>
    <t>Loss on foreign exchange variance (Net)</t>
  </si>
  <si>
    <t xml:space="preserve">    Payments to the auditors for:</t>
  </si>
  <si>
    <t xml:space="preserve">         - Audit Fees </t>
  </si>
  <si>
    <t xml:space="preserve">         - other Services</t>
  </si>
  <si>
    <t xml:space="preserve">         - Reimbursement of expenses</t>
  </si>
  <si>
    <t xml:space="preserve">         - Reimbursement of GST</t>
  </si>
  <si>
    <t>Depreciation &amp; Amortization Expense</t>
  </si>
  <si>
    <t>Depreciation on Tangible Assets</t>
  </si>
  <si>
    <t>Amortization - Leasehold land</t>
  </si>
  <si>
    <t>Depreciation on Factory Buildings</t>
  </si>
  <si>
    <t>Depreciation on Other Buildings</t>
  </si>
  <si>
    <t>Depreciation on Hydraulic works</t>
  </si>
  <si>
    <t>Depreciation on Railway Sidings</t>
  </si>
  <si>
    <t>Depreciation on Roads &amp; Others</t>
  </si>
  <si>
    <t>Depreciation on Plant &amp; Machinary</t>
  </si>
  <si>
    <t>Depreciation on Plant &amp; Machinary OH</t>
  </si>
  <si>
    <t>Depreciation on Fly Ash Utilisation Fun</t>
  </si>
  <si>
    <t>Depreciation on Line cabels &amp; network</t>
  </si>
  <si>
    <t>Depreciation on Vehicles</t>
  </si>
  <si>
    <t>Depreciation on Furniture &amp; Fixtures</t>
  </si>
  <si>
    <t>Depreciation on Office equipment</t>
  </si>
  <si>
    <t>Depreciation on assets Not belonging to MAHAGENCO</t>
  </si>
  <si>
    <t>Amortization on Intagible Assets</t>
  </si>
  <si>
    <t xml:space="preserve">Prior Period Income </t>
  </si>
  <si>
    <t>Prior Period Income - Depreciation</t>
  </si>
  <si>
    <t>Prior Period Income - Other Miscellaneous receipts</t>
  </si>
  <si>
    <t>Prior Period Income-Sale of power</t>
  </si>
  <si>
    <t>Prior Period Income-Sale of Scrap</t>
  </si>
  <si>
    <t>Prior Period Income-Sale of Reject coal</t>
  </si>
  <si>
    <t>Prior Period Income-Rent</t>
  </si>
  <si>
    <t>Prior Period Income-Sale of fly ash</t>
  </si>
  <si>
    <t>Prior Period Income-Interest</t>
  </si>
  <si>
    <t>Prior Period Expenditure</t>
  </si>
  <si>
    <t>Prior Period Expenditure Depreciation</t>
  </si>
  <si>
    <t>Prior Period Expenditure Operating</t>
  </si>
  <si>
    <t>Prior Period Expenditure Fuel</t>
  </si>
  <si>
    <t>Prior Period Expenditure Freight</t>
  </si>
  <si>
    <t>Prior Period Expenditure R&amp;M</t>
  </si>
  <si>
    <t>Prior Period Expenditure Employee</t>
  </si>
  <si>
    <t>Prior Period Expenditure Admin</t>
  </si>
  <si>
    <t>Prior Period Expenditure Interest</t>
  </si>
  <si>
    <t>Prior-period Amortization - Leasehold land</t>
  </si>
  <si>
    <t>Prior-period Depreciation on Factory Buildings</t>
  </si>
  <si>
    <t>Prior-period Depreciation on Other Buildings</t>
  </si>
  <si>
    <t>Prior-period Depreciation on Hydraulic works</t>
  </si>
  <si>
    <t>Prior-period Depreciation on Railway Sidings</t>
  </si>
  <si>
    <t>Prior-period Depreciation on Roads &amp; Others</t>
  </si>
  <si>
    <t>Prior-period Depreciation on Plant &amp; Machinary</t>
  </si>
  <si>
    <t>Prior-period Depreciation on Line cabels &amp; network</t>
  </si>
  <si>
    <t>Prior-period Depreciation on Vehicles</t>
  </si>
  <si>
    <t>Prior-period Depreciation on Furniture &amp; Fixtures</t>
  </si>
  <si>
    <t>Prior-period Depreciation on Office equipment</t>
  </si>
  <si>
    <t>Prior-period Depreciation on assets Not belonging</t>
  </si>
  <si>
    <t>Prior-period Amortization on Intagible Assets</t>
  </si>
  <si>
    <t>Tax Expenses</t>
  </si>
  <si>
    <t>Income Tax Expenditure</t>
  </si>
  <si>
    <t>Deferred tax expenditure</t>
  </si>
  <si>
    <t>STATEMENT OF CHANGES IN EQUITY</t>
  </si>
  <si>
    <t>I. Equity Share Capital</t>
  </si>
  <si>
    <t>Amount (Rs. Crores)</t>
  </si>
  <si>
    <t>As on 31.03.2022</t>
  </si>
  <si>
    <t>Changes in accounting policy or prior period errors</t>
  </si>
  <si>
    <t>Restated balance as on 01-04-2022</t>
  </si>
  <si>
    <t>Changes in Equity share capital</t>
  </si>
  <si>
    <t>As at 31.03.2023</t>
  </si>
  <si>
    <t>As at 31.03.2024</t>
  </si>
  <si>
    <t>II. Other Equity</t>
  </si>
  <si>
    <t>Retained earnings</t>
  </si>
  <si>
    <t>Total Other Equity</t>
  </si>
  <si>
    <t>Profit or Loss for the year</t>
  </si>
  <si>
    <t>Other Comprehensive income for the year</t>
  </si>
  <si>
    <t>Addition to share application money</t>
  </si>
  <si>
    <t>Shares Alotted during the year</t>
  </si>
  <si>
    <t>Restated balance as on 01-04-2023</t>
  </si>
  <si>
    <t>MAHARASHTRA STATE POWER GENERATION COMPANY LTD</t>
  </si>
  <si>
    <t>Note No. 1: PROPERTY, PLANT AND EQUIPMENT</t>
  </si>
  <si>
    <t xml:space="preserve"> TANGIBLE ASSETS</t>
  </si>
  <si>
    <t>Cost</t>
  </si>
  <si>
    <t>ASSET</t>
  </si>
  <si>
    <t>Rs. in Crores</t>
  </si>
  <si>
    <t>Land (including development)</t>
  </si>
  <si>
    <t xml:space="preserve">Hydraulic Works </t>
  </si>
  <si>
    <t>Other Civil Works</t>
  </si>
  <si>
    <t xml:space="preserve">Plant, Machinery &amp; Equipments </t>
  </si>
  <si>
    <t xml:space="preserve">Lines &amp; Cable Networks </t>
  </si>
  <si>
    <t xml:space="preserve">Vehicles </t>
  </si>
  <si>
    <t xml:space="preserve">Furniture &amp; Fixtures </t>
  </si>
  <si>
    <t xml:space="preserve">Office Equip- ments </t>
  </si>
  <si>
    <t xml:space="preserve">Capital Expenditure resulting in Assets not belonging to the Company  </t>
  </si>
  <si>
    <t>TOTAL TANGIBLE ASSETS</t>
  </si>
  <si>
    <t>Less:- Depreciation Capitalised</t>
  </si>
  <si>
    <t xml:space="preserve">Depreciation charged to Statement of Profit &amp; Loss </t>
  </si>
  <si>
    <t xml:space="preserve">Freehold </t>
  </si>
  <si>
    <t xml:space="preserve">Leasehold </t>
  </si>
  <si>
    <t xml:space="preserve">Factory Buildings </t>
  </si>
  <si>
    <t xml:space="preserve">Others </t>
  </si>
  <si>
    <t>Railway Sidings</t>
  </si>
  <si>
    <t xml:space="preserve">Roads and Others </t>
  </si>
  <si>
    <t>Deduction</t>
  </si>
  <si>
    <t>Accumulated Depreciation and impairment</t>
  </si>
  <si>
    <t>Deduction/Adjustments</t>
  </si>
  <si>
    <t>Net Carrying Amount</t>
  </si>
  <si>
    <t>Provision for obsolescence                  31.03.2018</t>
  </si>
  <si>
    <t>D</t>
  </si>
  <si>
    <t>Provision for obsolescence     31-03-2019</t>
  </si>
  <si>
    <t>A</t>
  </si>
  <si>
    <t>Note:- Out of the total land mentioned above, the Land amounting to Rs.  178 Crores, is in the name of offices of the Company instead of  Maharashtra State Power Generation Company Ltd.</t>
  </si>
  <si>
    <t>Company is in the process of transferring title deed in the registered name of the Company.</t>
  </si>
  <si>
    <t>V</t>
  </si>
  <si>
    <t>Consolidated</t>
  </si>
  <si>
    <t>Note NO. - 1A Right to Use Assets</t>
  </si>
  <si>
    <t>Building</t>
  </si>
  <si>
    <t>Land</t>
  </si>
  <si>
    <t>Gross Amount</t>
  </si>
  <si>
    <t>Accumulated Amortisation</t>
  </si>
  <si>
    <t xml:space="preserve">Note NO. - 1B Intangible Assets </t>
  </si>
  <si>
    <t>Software Licences</t>
  </si>
  <si>
    <t>B105</t>
  </si>
  <si>
    <t>B110</t>
  </si>
  <si>
    <t>B120</t>
  </si>
  <si>
    <t>B125</t>
  </si>
  <si>
    <t>B130</t>
  </si>
  <si>
    <t>B135</t>
  </si>
  <si>
    <t>B136</t>
  </si>
  <si>
    <t>B140</t>
  </si>
  <si>
    <t>Note no. 1C Assets classifies as held for sale</t>
  </si>
  <si>
    <t>B142</t>
  </si>
  <si>
    <t>Non-current assets held for sale</t>
  </si>
  <si>
    <t>B143</t>
  </si>
  <si>
    <t>B145</t>
  </si>
  <si>
    <t>Factory Buildings &amp; Others</t>
  </si>
  <si>
    <t>B150</t>
  </si>
  <si>
    <t>Hydraulic Works</t>
  </si>
  <si>
    <t>B155</t>
  </si>
  <si>
    <t>Railway Sidings, Roads &amp; Others</t>
  </si>
  <si>
    <t>B156</t>
  </si>
  <si>
    <t>Lines &amp; Cable Networks</t>
  </si>
  <si>
    <t>B160</t>
  </si>
  <si>
    <t>B165</t>
  </si>
  <si>
    <t>B170</t>
  </si>
  <si>
    <t>Office Equipments</t>
  </si>
  <si>
    <t>B225</t>
  </si>
  <si>
    <t xml:space="preserve">Other Miscellaneous Assets                 </t>
  </si>
  <si>
    <t>B234</t>
  </si>
  <si>
    <t>Less : Provision for obsolescence</t>
  </si>
  <si>
    <t>B250</t>
  </si>
  <si>
    <t>B260</t>
  </si>
  <si>
    <r>
      <rPr>
        <b/>
        <sz val="11"/>
        <rFont val="Arial"/>
        <family val="2"/>
      </rPr>
      <t>Note:</t>
    </r>
    <r>
      <rPr>
        <sz val="11"/>
        <rFont val="Arial"/>
        <family val="2"/>
      </rPr>
      <t xml:space="preserve"> Operations of the power generating unit no.7  at Koradi TPS and  Bhusawal unit no. 2 have been discontinued. The company is in the process of disposing of these assets. The Company has reclassified the said assets as assets held for sale. No further impairment loss has been recognised on reclassification as the Company expects that the fair value (estimated based on the recent market prices of similar properties) less costs to sell is higher than it's  carrying amount  as on 31st March, 2024.</t>
    </r>
  </si>
  <si>
    <t>B265</t>
  </si>
  <si>
    <t>B270</t>
  </si>
  <si>
    <t>B280</t>
  </si>
  <si>
    <t>Note NO. 2</t>
  </si>
  <si>
    <t>Capital Work in Progress</t>
  </si>
  <si>
    <t>TOTAL Tangible CWIP</t>
  </si>
  <si>
    <t>Freehold Land</t>
  </si>
  <si>
    <t xml:space="preserve">Leasehold Land                             </t>
  </si>
  <si>
    <t xml:space="preserve"> Factory Buildings</t>
  </si>
  <si>
    <t>Other Buildings</t>
  </si>
  <si>
    <t xml:space="preserve">Hydraulic works                           </t>
  </si>
  <si>
    <t xml:space="preserve">Railway Sidings                            </t>
  </si>
  <si>
    <t>Roads &amp; Others</t>
  </si>
  <si>
    <t>Plant &amp; Machinary</t>
  </si>
  <si>
    <t xml:space="preserve">Line cabels &amp; network                     </t>
  </si>
  <si>
    <t xml:space="preserve"> Furniture &amp; Fixtures</t>
  </si>
  <si>
    <t>Office equipment</t>
  </si>
  <si>
    <t xml:space="preserve"> Intangible Assets</t>
  </si>
  <si>
    <t>Provision for obsolesce</t>
  </si>
  <si>
    <t>As on 31.03.2014</t>
  </si>
  <si>
    <t>Deletion</t>
  </si>
  <si>
    <t>As on 31.03.2015</t>
  </si>
  <si>
    <t>Net Capital Work in Progess</t>
  </si>
  <si>
    <t>Less:- Provision for obsloescence</t>
  </si>
  <si>
    <t>Note:- Capital Work In Progress in respect of Intangible Assets comprise of licence aquired for development of Gare-Palma Mine.</t>
  </si>
  <si>
    <t xml:space="preserve">             Acquisition</t>
  </si>
  <si>
    <t xml:space="preserve">        Transfer</t>
  </si>
  <si>
    <t xml:space="preserve">      Retirement</t>
  </si>
  <si>
    <t>Cash  Flow  Statement For The Year Ended 31st March, 2024</t>
  </si>
  <si>
    <t>A. Cash Flow From Operating Activities</t>
  </si>
  <si>
    <t xml:space="preserve">Profit/(Loss) after Tax </t>
  </si>
  <si>
    <t>Adjustments to reconcile profit before tax to net cash used in operating activities:</t>
  </si>
  <si>
    <t>Depreciation/ impairment on property, plant and equipment &amp; Intangible Assets</t>
  </si>
  <si>
    <t>Interest income from  Preference Shares</t>
  </si>
  <si>
    <t>(Gain)/loss on sale of property, plant and equipment</t>
  </si>
  <si>
    <t>Remeasurement of Defined benefit plans Gain / (Loss)</t>
  </si>
  <si>
    <t>Amortisation of Foreign Currency Monetary Item Translation Difference</t>
  </si>
  <si>
    <t xml:space="preserve">Spares Written off </t>
  </si>
  <si>
    <t xml:space="preserve">Impairment in Value of Investments </t>
  </si>
  <si>
    <t>Fair value gain on Current Investments carried at FVTPL</t>
  </si>
  <si>
    <t xml:space="preserve">(Profit)/Loss on Sale of Current Investment </t>
  </si>
  <si>
    <t>Finance Costs</t>
  </si>
  <si>
    <t>Un realised Exchange Rate Difference</t>
  </si>
  <si>
    <t>Allowance for ECL</t>
  </si>
  <si>
    <t>Bad Debts written off</t>
  </si>
  <si>
    <t xml:space="preserve">Interest Income  </t>
  </si>
  <si>
    <t>Provision for obsolescence of inventory</t>
  </si>
  <si>
    <t>Operating Profit before Changes in Working Capital {Sub Total - (i)}</t>
  </si>
  <si>
    <t>Movements in working capital</t>
  </si>
  <si>
    <t xml:space="preserve">(Increase) / Decrease in Trade Receivables </t>
  </si>
  <si>
    <t>(Increase) / Decrease in Loans and Advances and Other Assets</t>
  </si>
  <si>
    <t xml:space="preserve">(Increase) /Decrease in Inventories </t>
  </si>
  <si>
    <t xml:space="preserve">Increase / (Decrease) in Liabilites and Other Payables  </t>
  </si>
  <si>
    <t>Sub Total - (ii)</t>
  </si>
  <si>
    <t>Cash Generated from Operations (i) + (ii)</t>
  </si>
  <si>
    <t xml:space="preserve">Less : Direct Taxes / FBT refund / (paid) - Net  </t>
  </si>
  <si>
    <t>Net Cash from Operating Activities        ( A )</t>
  </si>
  <si>
    <t>B. Cash Flow From Investing Activities</t>
  </si>
  <si>
    <t>Purchase of Property, Plant &amp; Equipment</t>
  </si>
  <si>
    <t>Sale of Property, Plant &amp; Equipment</t>
  </si>
  <si>
    <t xml:space="preserve">Purchase of Investments </t>
  </si>
  <si>
    <t>Investment in Subsidiary</t>
  </si>
  <si>
    <t>Sale Proceeds of current investments</t>
  </si>
  <si>
    <t>Loan Given to Subsidiary</t>
  </si>
  <si>
    <t xml:space="preserve">Interest received </t>
  </si>
  <si>
    <t xml:space="preserve">Dividend Received </t>
  </si>
  <si>
    <t>Net Cash Flow generated from / (used in)  Investing Activities     ( B )</t>
  </si>
  <si>
    <t>C. Cash Flow From Financing Activities</t>
  </si>
  <si>
    <t>Proceeds from Long Term Borrowings</t>
  </si>
  <si>
    <t xml:space="preserve">Long term Loans repaid </t>
  </si>
  <si>
    <t>Proceeds from issue of shares</t>
  </si>
  <si>
    <t>Short term Loans raised / (repaid) incuding CC and OD</t>
  </si>
  <si>
    <t>Capital Grant Received</t>
  </si>
  <si>
    <t>Finance Cost paid</t>
  </si>
  <si>
    <t>Lease Rent</t>
  </si>
  <si>
    <t>Net Cash Flow generated from / (used in) Financing Activities     ( C )</t>
  </si>
  <si>
    <t>Net Increase / (Decrease) in Cash and Cash Equivalents (A + B + C)</t>
  </si>
  <si>
    <t>Details of cash and cash equivalents at the end of the year:</t>
  </si>
  <si>
    <t>Cash and cash equivalents as on</t>
  </si>
  <si>
    <t xml:space="preserve">    Balances with Banks:</t>
  </si>
  <si>
    <t xml:space="preserve">      - on current accounts</t>
  </si>
  <si>
    <t xml:space="preserve">     Cash Equivalents</t>
  </si>
  <si>
    <t>Overdraft</t>
  </si>
  <si>
    <t xml:space="preserve">    Cash on hand</t>
  </si>
  <si>
    <t>46701-</t>
  </si>
  <si>
    <t>SOURCE:- VARPE FILE - Loan Receipts &amp; Repayments</t>
  </si>
  <si>
    <t>Loan Receipts</t>
  </si>
  <si>
    <t xml:space="preserve">Loan Repayments </t>
  </si>
  <si>
    <t>Net Proceeds</t>
  </si>
  <si>
    <t>Check difference between current maturities of long term debt in following</t>
  </si>
  <si>
    <t>Note No. 11</t>
  </si>
  <si>
    <t>SHARE CAPITAL</t>
  </si>
  <si>
    <t>i) Authorised Capital</t>
  </si>
  <si>
    <t>Class of Share</t>
  </si>
  <si>
    <t xml:space="preserve">Face value </t>
  </si>
  <si>
    <t>No. of Shares</t>
  </si>
  <si>
    <t>(Amount in Rs. Crores)</t>
  </si>
  <si>
    <t>Equity Shares</t>
  </si>
  <si>
    <t>ii) Issued,Subscribed and paid up Capital (Fully Paid-up)</t>
  </si>
  <si>
    <t xml:space="preserve">Pending for allotment </t>
  </si>
  <si>
    <t>iii) Reconciliation of Number of Shares Outstanding</t>
  </si>
  <si>
    <t xml:space="preserve">Outstanding at the beginning of the year </t>
  </si>
  <si>
    <t>Addition during the period</t>
  </si>
  <si>
    <t xml:space="preserve">Outstanding at the end of the year </t>
  </si>
  <si>
    <t>iv) The rights, preferences, restrictions including restrictions on the distributions of dividends and repayment of capital</t>
  </si>
  <si>
    <t>(1) The Company is having only one class of shares i.e Equity carrying a nominal value of Rs. 10/- per share.</t>
  </si>
  <si>
    <t>(2) Company is 100% subsidiary of MSEB Holding Company Ltd.. which is entitled to 100% vote.  The dividend,  proposed by Board of Directors is subject to approval of the shareholders in the Annual General Meeting, if any.</t>
  </si>
  <si>
    <t>(3) Shareholders of the Company have a right to receive dividend  whenever such dividend is approved.</t>
  </si>
  <si>
    <t>(4) In the event of liquidation of the Company, the equity shareholders will be entitled to receive remaining assets of the Company after the distribution / repayment of all creditors. The distribution to the equity shareholders will be in proportion of the number of shares held by each shareholder</t>
  </si>
  <si>
    <t>(v) Shares in respect of each class held by  Holding Company</t>
  </si>
  <si>
    <t>Name of Shareholder</t>
  </si>
  <si>
    <t>MSEB Holding Company Ltd. (Nos.)</t>
  </si>
  <si>
    <t>MSEB Holding Company Ltd. (Amount in Rs. Crores )</t>
  </si>
  <si>
    <t>vi) Details of shares in the company held by each shareholder holding more than 5% shares and shares held by Holding company :</t>
  </si>
  <si>
    <t>% of Shares</t>
  </si>
  <si>
    <t>% change during the year</t>
  </si>
  <si>
    <t>MSEB Holding Company Ltd.</t>
  </si>
  <si>
    <t>SHAREHOLDING OF PROMOTERS</t>
  </si>
  <si>
    <t>% change during the year FY 2022-23</t>
  </si>
  <si>
    <t>Promoter Name</t>
  </si>
  <si>
    <t>No of Shares **</t>
  </si>
  <si>
    <t>% of total shares</t>
  </si>
  <si>
    <t>Nil</t>
  </si>
  <si>
    <t>NOTE:-  In case of partly disburse long term loan of financial Instituation, Which are under disbrusement &amp; at the same time repayment has been commenced, the amount repayable within one year, is being worked out on the basis of outstandings loan balances as on the closing date &amp; the balance residual tenor of the loan on the closing date.</t>
  </si>
  <si>
    <t>TOTAL</t>
  </si>
  <si>
    <t>Tenure- 50 year. Principle amount shall be repayable by "Bullet Installment" as at the end of tenure</t>
  </si>
  <si>
    <t>Financial Assitance</t>
  </si>
  <si>
    <t>Govt of Maharashtra</t>
  </si>
  <si>
    <t>M/s. Clean Sustainable Solar Energy Pvt. Ltd.</t>
  </si>
  <si>
    <t>Unsecured - Back to back arrangement GoM &amp; Govt of India.</t>
  </si>
  <si>
    <t xml:space="preserve">Six month LIBOR + variable Spread  </t>
  </si>
  <si>
    <t>50 semi annual Installments beginning from 15.12.2014 till 15.6.2039</t>
  </si>
  <si>
    <t>Funding for Koradi TPS Unit-6 EE R&amp;M</t>
  </si>
  <si>
    <t>7687-IN Coal Fired Generation Rehabiliation Project</t>
  </si>
  <si>
    <t>IBRD-World Bank</t>
  </si>
  <si>
    <t>21 semi annual installments commenced from 30.12.2013</t>
  </si>
  <si>
    <t>Establishment of Solar Power Plant at Baramati &amp; other places</t>
  </si>
  <si>
    <t xml:space="preserve">17796502E- Solar PV Power plant </t>
  </si>
  <si>
    <t>KfW- Germany</t>
  </si>
  <si>
    <t>Mortgage &amp; Hypothecation of all Movable &amp; Immovable assets of Khaperkheda TPS Unit-5 (500 MW)</t>
  </si>
  <si>
    <t>51 equal quarterly installments started from October 2016 amounting to Rs.43.10 Crores</t>
  </si>
  <si>
    <t>Debt Refinancing loan for Khaperkheda TPS Expn Unit-5 (500 MW)</t>
  </si>
  <si>
    <t>State Bank of India</t>
  </si>
  <si>
    <t>Mortgage of entire land and structure at Nashik Thermal Power Station owned by the company.</t>
  </si>
  <si>
    <t>4quarterly installment of Rs.22.50 Crores each from September 2024 and thereafter 10 quarterly installments of Rs.46 crore each</t>
  </si>
  <si>
    <t>Working Capital facility</t>
  </si>
  <si>
    <t>173000638576</t>
  </si>
  <si>
    <t>Canara</t>
  </si>
  <si>
    <t xml:space="preserve">Mortgage &amp; Hypothecation of all Movable &amp; Immovable assets of Khaperkheda TPS Unit-5 (500 MW). Further, within 2 months from the date of first disbursement, company to make suitable arrangement for direct credit of cash inflows on account of receipt of Late Payment Surcharge (LPS) dues from the DSICOMS to the Desgnated account to be maintained with SBI. </t>
  </si>
  <si>
    <t>28 equal Monthly installments : commencing from  April 2024</t>
  </si>
  <si>
    <t>SBI</t>
  </si>
  <si>
    <t xml:space="preserve">Corporate Guarantee from MSEB Holding Company Ltd. </t>
  </si>
  <si>
    <t>36 equal Monthly installments : commencing from  November 2025</t>
  </si>
  <si>
    <t>MTL-17963</t>
  </si>
  <si>
    <t>REC</t>
  </si>
  <si>
    <t>96 equal Monthly installments : commencing from   October 2024</t>
  </si>
  <si>
    <t>MTL-17111</t>
  </si>
  <si>
    <t>Hypothecation of movable assets of Bhusawal TPS Unit 4 &amp; 5 (2x500 MW) to the extent of value of Rs. 551.28 crs and pari passu charge with PFC on entire assets of Koradi TPS (3x660 MW) Unit No. 8,9 &amp; 10 to the extent of Rs. 874.37 crs.</t>
  </si>
  <si>
    <t>96 equal Monthly installments : commencing from   1st October 2022 amounting to Rs.10.31 Crores</t>
  </si>
  <si>
    <t>MTL-16035</t>
  </si>
  <si>
    <t>Hypothecation of Future assets to be created from the R&amp;M Scheme</t>
  </si>
  <si>
    <t>120 Equal Monthly installements, commencing from November 2025</t>
  </si>
  <si>
    <t>Installation of Pollution Control Equipments (FGD) at 2x250 MW (Unit-6 &amp;7), Parli TPS</t>
  </si>
  <si>
    <t>120 Equal Monthly installements commencing from Sept 2025</t>
  </si>
  <si>
    <t>CHP Improvement Schemes’ at 2x500 MW at BTPS, Bhusawal in the State of Maharashtra</t>
  </si>
  <si>
    <t>Hypothecation of All existing Assets of Chandrapur TPS u 8 &amp; 9</t>
  </si>
  <si>
    <t>120 Equal Monthly installements commencing from Sept 2024</t>
  </si>
  <si>
    <t>Internal Works to be carried out for reuse of Tertiary Treated Water for Khapherkheda and Koradi TPS from 200 MLD Sewage Treatment Plant of Nagpur Muncipal Corporation.</t>
  </si>
  <si>
    <t>120 Equal Monthly installements commencing from Aug 2022 amounting to Rs.0.26 Crores</t>
  </si>
  <si>
    <t>Procurement of spare Generator Rotor along with bearings for U-5,6,7 at Chandrapur Super Thermal Power Station (CSTPS)</t>
  </si>
  <si>
    <t>144 Equal Monthly installements commencing from April 2024</t>
  </si>
  <si>
    <t>Supply of complete gear box assembly for XRP-1043 coal mills at unit 5 &amp; 6 at Chandrapur Super Thermal Power Station (CSTPS)</t>
  </si>
  <si>
    <t>36 Equal Monthly installements commencing from Dec 2024</t>
  </si>
  <si>
    <t>Implementation of Water Flow Monitoring system at Chandrapur STPS</t>
  </si>
  <si>
    <t>120 Equal Monthly installements commencing from August 2025</t>
  </si>
  <si>
    <t>Plant Civil works and renovation of colony work under DPR scheme at Uran GTPS.</t>
  </si>
  <si>
    <t>120 equal monthly installments : commencing from Feb 2024 amounting to Rs.0.12 Crores</t>
  </si>
  <si>
    <t>Replacement of 220 V Station Battery Set and UPS Battery Sets of Unit-5 &amp; 6 and 24 V G1 G2 Battery Sets of Unit-5 &amp; 6 of Chandrapur STPS, Stage-III.</t>
  </si>
  <si>
    <t>120 equal monthly installments : commencing from April 2024</t>
  </si>
  <si>
    <t>Reinforcement and Capicity Enhancement of old CHP Coal Conveyor Belt structure from 200 TPS to 360 TPH at old CHP Paras TPS and Procurement of one no. of Bulldozer and Diesel Hydraulic Locomotive at Paras TPS.</t>
  </si>
  <si>
    <t>120 equal monthly installments : commencing from Sept 2024</t>
  </si>
  <si>
    <t>Various Electronic schemes at Unit 6 and 7 and outdoor area for system up-gradation at 210 MW Koradi TPS.</t>
  </si>
  <si>
    <t>R&amp;M-15444</t>
  </si>
  <si>
    <t>120 equal monthly installments : commencing from (.)</t>
  </si>
  <si>
    <t>Decommissioning and shifting of DCS systemat KTPS U#5 and RE-commissioning with Up gradation to Symphony plusat Unit-7 210 MW Koradi TPS and supply, erection and commissioning of rotating assembly for general service water pumps at 210 MW Koradi TPS.</t>
  </si>
  <si>
    <t>R&amp;M-15443</t>
  </si>
  <si>
    <t>120 equal monthly installments : commencing from 30th April 2023 amounting to Rs.0.07 Crores</t>
  </si>
  <si>
    <t>Up-gradation of existing Gravemetric Coal Feeders control panel with HMI and Microprocessor based controller with VFD, Motor &amp; Weigh Module at Unit 3 &amp; 4 and Procurement of various critical components of GEHO Pump (Model- TZPM 800) for AHP-1, Khaperkheda TPS.</t>
  </si>
  <si>
    <t>R&amp;M-15442</t>
  </si>
  <si>
    <t>120 equal monthly installments : commencing from 31st October 2022 amounting to Rs.0.10 Crores</t>
  </si>
  <si>
    <t>Procurement and replacement of Economizer Coils for Unit 1 and 2, 210 MW Khaperkheda TPS and procurement and replacement work of foundation deck spring assembly for coal mills of Unit No 3 &amp; 4 of 210 MW, Khaperkheda TPS</t>
  </si>
  <si>
    <t>R&amp;M-15441</t>
  </si>
  <si>
    <t>120 equal monthly installments : commencing from 30th November 2022 amounting to Rs.0.18 Crores</t>
  </si>
  <si>
    <t>Procurement of 2 no of 3100 HP, WDG-3A Locomotives for Chandrapur STPS.</t>
  </si>
  <si>
    <t>R&amp;M-15439</t>
  </si>
  <si>
    <t>Hypothecation of existing movable assets - Paras TPS Unit-3 (250 MW) Boiler Plant and Equipment Single Drum</t>
  </si>
  <si>
    <t>120 equal monthly installments : commencing from April 2020 amounting to Rs.0.06 Crores</t>
  </si>
  <si>
    <t>Energy Efficient Renovation &amp; Modernization [R&amp;M[ work at 1 x 210 MW Koradi TPS Unit-6.</t>
  </si>
  <si>
    <t>R&amp;M-15270</t>
  </si>
  <si>
    <t>120 equal monthly installments : commencing from Dec. 2023 amounting to Rs.0.05 Crores</t>
  </si>
  <si>
    <t>Procurement of Girth Gear and Pinion for Coal Mills and Procurement, Installation, Commissioning of Variable Frequency Drives for Gravimetric Feeders at Unit No. 6 and 7 of Parli TPS</t>
  </si>
  <si>
    <t>R&amp;M-15249</t>
  </si>
  <si>
    <t>120 equal monthly installments : commencing from Jan 2024 amounting to Rs.0.09 Crores</t>
  </si>
  <si>
    <t>Work of Strengthing and asphalting of part portion of inspection road (Navegaon to Rohana) of Pench intake pipeline from Pench to Pond No-3 at Koradi TPS.</t>
  </si>
  <si>
    <t>R&amp;M-15248</t>
  </si>
  <si>
    <t>120 equal monthly installments : commencing from August 2025</t>
  </si>
  <si>
    <t>Up-gradation of Excitation system at Stage I &amp; II, PLC &amp; SCADA system at Stage-II and DG Set at Stage -IV at Koyna GSC, Pophali in the State of Maharashtra</t>
  </si>
  <si>
    <t>R&amp;M-15067</t>
  </si>
  <si>
    <t>120 equal monthly installments : commencing from 31th December 2022 amounting to Rs.0.07 Crores</t>
  </si>
  <si>
    <t>Refurbishment of 24 KV Generator Circuit Breakers (ABB Make) for 4 Units at Stage IV, Koyna GSC, Pophali.</t>
  </si>
  <si>
    <t>R&amp;M-15066</t>
  </si>
  <si>
    <t>120 equal monthly installments : commencing from 31st December 2022 amounting to Rs.0.08 Crores</t>
  </si>
  <si>
    <t>Works to enhance the performance of Coal Handling Plant at Parli TPS (3x250 MW).</t>
  </si>
  <si>
    <t>R&amp;M-15065</t>
  </si>
  <si>
    <t>120 equal monthly installments : commencing from 30th April 2023 amounting to Rs.0.12 Crores</t>
  </si>
  <si>
    <t>Procurement of Energy Efficient Cartridges for Boiler Feed Pumps of Unit No-6 &amp; 7 of Parli TPS</t>
  </si>
  <si>
    <t>R&amp;M-15064</t>
  </si>
  <si>
    <t>120 equal monthly installments : commencing from December 2025</t>
  </si>
  <si>
    <t>Complete Track Renovation &amp; Upgradation of existing 90-100 LBS Rail Track of old CHP at Paras TPS.</t>
  </si>
  <si>
    <t>R&amp;M-15063</t>
  </si>
  <si>
    <t>120 equal monthly installments : commencing from 30th Sept 2022 amounting to Rs.0.09 Crores</t>
  </si>
  <si>
    <t>Work of Strengthing and asphalting on the peripheral earthen enbankment of Pond No-3 at Koradi TPS</t>
  </si>
  <si>
    <t>R&amp;M-15061</t>
  </si>
  <si>
    <t>Supply, Erection &amp; Commissioning of HT Vaccum Circuit Breakers and SF6 contactors at AHP and CHP of Unit 1 to 4 of 210 MW &amp; CHP of Unit No-5 of 500 MW Khaperkheda TPS and Supply, Erection &amp; Commissioning of 160 KW VFD panel with motor for fire fighting pumps at Unit No 1 to 4 of 210 MW Khaperkheda TPS.</t>
  </si>
  <si>
    <t>R&amp;M-15060</t>
  </si>
  <si>
    <t>Procurement of MOH Spares for Unit-8 of GTPS Uran.</t>
  </si>
  <si>
    <t>R&amp;M-15058</t>
  </si>
  <si>
    <t>120 equal monthly installments : commencing from June 2023 amounting to Rs.0.07 Crores</t>
  </si>
  <si>
    <t>HMI (Human Machine Interface) up-gradation of DCS Unit-3 &amp; 4, WTP (Water Treatment Plant Unit 3&amp;4 combined PLC system) &amp; AHP (Ash Handling Plant Unit-3 PLC System) to matchwith external aspects as well as for process improvement &amp; procurement of Girth-Gear &amp; Pinion for Optimum availability of Auxiliary at Paras TPS.</t>
  </si>
  <si>
    <t>R&amp;M-14754</t>
  </si>
  <si>
    <t>120 equal monthly installments : commencing from April 2022 amounting to Rs.0.17 Crores</t>
  </si>
  <si>
    <t>Providing green belt around Pond No-3, Construction of weir &amp; reclaiming natural stream from Pond No-3 to Kolar River on d/s side of Pond No-3 and deeping of west side of pond no-3 at Koradi TPS</t>
  </si>
  <si>
    <t>R&amp;M-14662</t>
  </si>
  <si>
    <t>120 equal monthly installments : commencing from May 2025</t>
  </si>
  <si>
    <t>Procurement &amp; Commissioning of MV/ILT VFD Panel with bypass arrangement for HT/LT conveyors &amp; Automation of control room in CHP-B at Chandrapur TPS.</t>
  </si>
  <si>
    <t>R&amp;M-14545</t>
  </si>
  <si>
    <t>120 equal monthly installments : commencing from February 2026</t>
  </si>
  <si>
    <t>Procurement of one spare LPT Rotor suitable for Unit-3 &amp; 4 at Khaperkheda TPS.</t>
  </si>
  <si>
    <t>R&amp;M-14499</t>
  </si>
  <si>
    <t>120 equal monthly installments : commencing from March 2022 amounting to Rs.0.18 Crores</t>
  </si>
  <si>
    <t>Refurbishment of Coal Handling Plant at Koradi TPS U-6 &amp; 7 in the state of Maharashtra.</t>
  </si>
  <si>
    <t>R&amp;M-14498</t>
  </si>
  <si>
    <t>120 equal monthly installments : commencing from 31st March 2023</t>
  </si>
  <si>
    <t>Various Capital Expenditure schemes at Koyna Generating Station Complex [KGSC].</t>
  </si>
  <si>
    <t>R&amp;M-14497</t>
  </si>
  <si>
    <t>40 equal quarterly installments : commencing from March 2024 amounting to Rs.0.18 Crores</t>
  </si>
  <si>
    <t>Replacement of complete set of Economiser Upper and Lower Coil Assemblies &amp; Replacement of complete set of Low Temperature Super Heater (LTSH) Upper and Lower Coil Assemblies in Unit No 6 and 7 of Parli TPS.</t>
  </si>
  <si>
    <t>R&amp;M-14755</t>
  </si>
  <si>
    <t>120 equal monthly  installments : commencing from December 2023 amounting to Rs.0.07 Crores</t>
  </si>
  <si>
    <t>Replacement of complete set of Economiser Upper and Lower Coil Assemblies &amp; Replacement of complete set of Low Temperature Super Heater (LTSH) Upper and Lower Coil Assemblies in Unit 3 at Paras TPS in Akola District.</t>
  </si>
  <si>
    <t>R&amp;M-14753</t>
  </si>
  <si>
    <t>40 equal quarterly installments : commencing from March 2022 amounting to Rs.0.38 Crores</t>
  </si>
  <si>
    <t>Procurement of complete sets of Air Pre-heater Basket at various TPS of MSPGCL.</t>
  </si>
  <si>
    <t>R&amp;M-14751</t>
  </si>
  <si>
    <t>120 equal Monthly installments : commencing from 31st May 2022 amounting to Rs.0.09 Crores</t>
  </si>
  <si>
    <t>Upgradation of HMI Symphony Harmony DCS, Battery Replacement and retrofitting of HT berakers by VCB at Unit-3, 210 MW Bhusawal TPS</t>
  </si>
  <si>
    <t>R&amp;M-14750</t>
  </si>
  <si>
    <t>120 equal monthly installments : commencing from August 2023 amounting to Rs.0.12 Crores</t>
  </si>
  <si>
    <t>14 Nos of Schemes for Hydro Power Stations under Renewable Energy Circle, Pune &amp; Nashik of MSPGCL</t>
  </si>
  <si>
    <t>R&amp;M-14749</t>
  </si>
  <si>
    <t>40 equal quarterly installments : commencing from September 2021 amounting to Rs.0.21 Crores</t>
  </si>
  <si>
    <t>Work of maintaining the zero discharge condition of Pond No-2 and Pond No-3 and providing the facilities on peripheral area of Pond No-3 such as roads/bridges with lightening arrangement at Koradi TPS, Koradi disctrict.</t>
  </si>
  <si>
    <t>R&amp;M-14663</t>
  </si>
  <si>
    <t>Hypothecation of existing movable assets - Paras TPS Unit-3 (250 MW) - Other Plant &amp; Machinery items.</t>
  </si>
  <si>
    <t>40 equal quarterly installments : commencing from June 2022 amounting to Rs.0.21 Crores</t>
  </si>
  <si>
    <t>Provision and Construction of various public amenities in the rehabilitated village Koradi at Koradi TPS, Koradi district.</t>
  </si>
  <si>
    <t>R&amp;M-14661</t>
  </si>
  <si>
    <t>40 equal quarterly installments : commencing from December 2021 amounting to Rs.0.05 Crores</t>
  </si>
  <si>
    <t>Provision and Construction of various public amenities in the rehabilitated village Khasara at Koradi TPS, Koradi district.</t>
  </si>
  <si>
    <t>R&amp;M-14660</t>
  </si>
  <si>
    <t>40 equal quarterly installments : commencing from March 2022 amounting to Rs.0.16 Crores</t>
  </si>
  <si>
    <t>Various Civil works at Parli TPS in the State of Maharashtra</t>
  </si>
  <si>
    <t>R&amp;M-14612</t>
  </si>
  <si>
    <t>120 equal Monthly installments : commencing from 30th Sept 2022 amounting to Rs.0.06 Crores</t>
  </si>
  <si>
    <t>Renovation work of Colony at Parli TPS</t>
  </si>
  <si>
    <t>R&amp;M-14606</t>
  </si>
  <si>
    <t>40 equal quarterly installments : commencing from March 2022 amounting to Rs.0.23 Crores</t>
  </si>
  <si>
    <t>Supply, Erection, Commissioning and testing of 220V, 2035 AH station Battery Set (04 nos) and 24 V,  2250 AH, SG/TG and BoP Battery Sets (08 nos) for Unit No-4 and 5 along with accessories at 2 x 500 MW Bhusawal TPS.</t>
  </si>
  <si>
    <t>R&amp;M-14544</t>
  </si>
  <si>
    <t>40 equal quarterly installments : commencing from March 2022 amounting to Rs.0.22 Crores</t>
  </si>
  <si>
    <t>Replacement of Battery Bank Set, Two complete set of Air Pre-heater Baskets &amp; Coal Compartment Assemblies for 250 MW Unit-4, at Paras TPS</t>
  </si>
  <si>
    <t>R&amp;M-14501</t>
  </si>
  <si>
    <t>40 equal quarterly installments : commencing from December 2021 amounting to Rs.0.26 Crores</t>
  </si>
  <si>
    <t>Procurement of APH Basket for Unit 1 to 4 (210 MW) and Unit-5 (500 MW)and up-gradation of HT Rotor Protection Relays in Unit 1 to 4 at Khaperkheda TPS</t>
  </si>
  <si>
    <t>R&amp;M-14500</t>
  </si>
  <si>
    <t>40 equal quarterly installments : commencing from (.)</t>
  </si>
  <si>
    <t>Up-gradation of Automation System of GT-7 and Static Excitation Equipment of B0 Unit at Uran GTPS</t>
  </si>
  <si>
    <t>R&amp;M-14496</t>
  </si>
  <si>
    <t>40 equal quarterly installments : commencing from June 2024</t>
  </si>
  <si>
    <t>Procurement and replacement of Air Pre-heater Baskets, installation of Electromechanical drive for Apron feeder &amp; procurement of coal mine gear box for 2x500 MW Units at Bhusawal TPS.</t>
  </si>
  <si>
    <t>R&amp;M-14494</t>
  </si>
  <si>
    <t>120 equal Monthly installments : commencing from 31st December 2022 amounting to Rs.0.14 Crores</t>
  </si>
  <si>
    <t>Conservation of Koradi Lake, Nagpur for supply of clean water to Koradi TPS and Khaperkheda TPS.</t>
  </si>
  <si>
    <t>R&amp;M-14235</t>
  </si>
  <si>
    <t>70 equal monthly  installments : commencing from July 2023 amounting to Rs.0.12 Crores</t>
  </si>
  <si>
    <t>Procurement of Compressor Rotor Blades of all 16 stages and Tie Rod alongwith frothollow shaft for Gas Turbine Unit No-8 at Uran GTPS.</t>
  </si>
  <si>
    <t>R&amp;M-14062</t>
  </si>
  <si>
    <t>40 equal quarterly installments : commencing from September 2021 amounting to Rs.0.22 Crores</t>
  </si>
  <si>
    <t>Renovation of Colony at Eklahare at Nashik TPS</t>
  </si>
  <si>
    <t>R&amp;M-14028</t>
  </si>
  <si>
    <t>40 equal quarterly installments commencing from June 2021 amounting to Rs.0.19 Crores</t>
  </si>
  <si>
    <t>Civil works at Nashik Hydro Power Circle in Maharashtra</t>
  </si>
  <si>
    <t>R&amp;M-14021</t>
  </si>
  <si>
    <t>40 equal quarterly installments commencing from June 2021 amounting to Rs.0.23 Crores</t>
  </si>
  <si>
    <t>Utilization of unused water scheme from Bhanegaon open cast mine and construction of cement concrete road inside part of the power house at Khaperkheda TPS.</t>
  </si>
  <si>
    <t>R&amp;M-14020</t>
  </si>
  <si>
    <t>40 equal quarterly installments commencing from June 2021 amounting to Rs.0.38 Crores</t>
  </si>
  <si>
    <t>Civil works at Bhusawal TPS, Deepnagar, Bhusawal in the state of Maharashtra</t>
  </si>
  <si>
    <t>R&amp;M-13994</t>
  </si>
  <si>
    <t>40 equal quarterly installments commencing from June 2021 amounting to Rs.2.06 Crores</t>
  </si>
  <si>
    <t>Renovation and Beautification works of CSTPS Chandrapur Colony at Chandrapur.</t>
  </si>
  <si>
    <t>R&amp;M-13993</t>
  </si>
  <si>
    <t>40 equal quarterly installments : commencing from March 2022 amounting to Rs.0.30 Crores</t>
  </si>
  <si>
    <t>Procurement of Boiler Feed Booster pumps to improve availability and performance of Feed system, Moving blades of Lowe Pressure Turbine and Condenser Tubes of Chandrapur TPS (3 x 500 MW)</t>
  </si>
  <si>
    <t>R&amp;M-13992</t>
  </si>
  <si>
    <t>40 equal quarterly installments commencing from June 2021 amounting to Rs.0.33 Crores</t>
  </si>
  <si>
    <t>Construction of Limited Heigh Sub-way (LHS) at un-manned road level crossing by Railway on cost sharing basis with MSPGCL on Khaperkheda - Kalumna Railway siding and Saoner - Khaperkheda Railway Siding at Khaperkheda TPS.</t>
  </si>
  <si>
    <t>R&amp;M-13991</t>
  </si>
  <si>
    <t>40 equal quarterly installments commencing from June 2021 AMOUNTING TO Rs.0.61 Crores</t>
  </si>
  <si>
    <t>Civil works at Various Thermal Power Stations as implementation of Intelligent Bureau (IB) Recommendations</t>
  </si>
  <si>
    <t>R&amp;M-13989</t>
  </si>
  <si>
    <t>40 equal quarterly installments commencing from Sept. 2020 amounting to Rs.0.22 Crores</t>
  </si>
  <si>
    <t>Various schemes related to CHP Improvement and performance optimization and scheme of conversion of existing composite OHE to conventional OHE at Khaperkheda TPS.</t>
  </si>
  <si>
    <t>R&amp;M-13367</t>
  </si>
  <si>
    <t>40 equal quarterly installments commencing from December 2020 amounting to Rs.0.22 Crores</t>
  </si>
  <si>
    <t>Provision of work of providing, lowering, laying and joining M.S. Pipe lines from Waregaon Ash bund leading towards Khaperkheda TPS for additional recovery of water from waregaon ash bund including ancillary works of RCC pedestals at Khaperkheda TPS.</t>
  </si>
  <si>
    <t>R&amp;M-13365</t>
  </si>
  <si>
    <t>40 equal quarterly installments commencing from March 2021 amounting to Rs.0.26 Crores</t>
  </si>
  <si>
    <t>Upgradation of Human Machine Interface system at Unit No 3 and 4 at Khaperkheda TPS.</t>
  </si>
  <si>
    <t>R&amp;M-13364</t>
  </si>
  <si>
    <t>40 equal quarterly installments commencing from June 2021 amounting to Rs.0.61 Crores</t>
  </si>
  <si>
    <t>Construction of 1st raising of existing Ash Bund fom TBL(top Bund Level) 426 Mtr to 432 Mtr with construction of masonary dam and raising the height of drain well from 423.75 Mtr to 432 mtr at Dautpur Bond Nom 2 of Parli TPS.</t>
  </si>
  <si>
    <t>R&amp;M-13363</t>
  </si>
  <si>
    <t>40 equal quarterly installments commencing from Sept. 2020 amounting to Rs.0.24 Crores</t>
  </si>
  <si>
    <t>Provision of work of construction of WBM road and drain on filling of hot water canal from Pond No-2 to Pond No 3 and construction of Bridge cum weir on Pond No 3 parallel to National Highway ay Koradi TPS.</t>
  </si>
  <si>
    <t>R&amp;M-13362</t>
  </si>
  <si>
    <t>40 equal quarterly installments commencing from Sept. 2020 amounting to Rs.0.0013 Crores</t>
  </si>
  <si>
    <t>Signal &amp; Telecommunication system for in-plant yard, Khaperkheda and Kalumna and modification of Kalumna yard alteration No-5 at Khaperkheda TPS.</t>
  </si>
  <si>
    <t>R&amp;M-13361</t>
  </si>
  <si>
    <t>DCS (Distributed Control System) Upgradation &amp; Refurbishment of ESP at Unit No 3 at Nashik TPS.</t>
  </si>
  <si>
    <t>R&amp;M-13360</t>
  </si>
  <si>
    <t>40 equal quarterly installments commencing from December 2020 amounting to Rs.0.24 Crores</t>
  </si>
  <si>
    <t>Replacement of H2 Generators with New Hydrogen Generator (Non Abstos Design) and Electrical items for Stage II and ORC TPS at Chandrapur</t>
  </si>
  <si>
    <t>R&amp;M-13358</t>
  </si>
  <si>
    <t>40 equal quarterly installments : commencing from Dec 2024</t>
  </si>
  <si>
    <t>Replacement of Generator Stator Unit No 11 (80 MW) at Stage III at Koyna Generating Station Complex (KGSC).</t>
  </si>
  <si>
    <t>R&amp;M-13357</t>
  </si>
  <si>
    <t>40 equal quarterly installments : commencing from Sept 2023</t>
  </si>
  <si>
    <t>Supply of A0 or B0 WHRP (Waste Heat Recovery Plant) Unit Upgradation at Uran GTPS.</t>
  </si>
  <si>
    <t>R&amp;M-13355</t>
  </si>
  <si>
    <t>40 equal quarterly installments commencing from June 2021 amounting to Rs.0.29 Crores</t>
  </si>
  <si>
    <t>Provision of scheme related to Barrage Gate, AWR pipeline and concrete road at Nashik TPS.</t>
  </si>
  <si>
    <t>R&amp;M-13354</t>
  </si>
  <si>
    <t>Augmentation of Ash Evacuation system &amp; procurement of BCW pump (Boiler Circulating water pump) motors at Bhusawal TPS and Khaperkheda TPS. Procurement of AVCF drive along with inverter module for GEHO pumps and supply, erection and commissioning of 240 VDC, 100A float and Float cum Boost Battery Changer with 325Ah Battery Bank for CWPH at Bhusawal TPS</t>
  </si>
  <si>
    <t>R&amp;M-13353</t>
  </si>
  <si>
    <t>40 equal quarterly installments commencing from Sept. 2020 amounting to Rs.1.28 Crores</t>
  </si>
  <si>
    <t>Provision of work of construction of 1st raising of existing Ash Bund No. 3 from TBL(top Bund Level) 258 Mtr to 264 Mtr at Bhusawal TPS.</t>
  </si>
  <si>
    <t>R&amp;M-13352</t>
  </si>
  <si>
    <t>40 equal quarterly installments : commencing from Janaury 2026</t>
  </si>
  <si>
    <t>CTR work (Complete Track Renovation) for existing broad guage railway siding at Koradi TPS</t>
  </si>
  <si>
    <t>R&amp;M-12938</t>
  </si>
  <si>
    <t>40 equal quarterly installments commencing from Sept. 2020 amounting to Rs.0.28 Crores</t>
  </si>
  <si>
    <t>Various civil schemes for Modernization of HPC Pune Colonies</t>
  </si>
  <si>
    <t>R&amp;M-12937</t>
  </si>
  <si>
    <t>40 equal quarterly installments commencing from March 2021 amounting to Rs.0.37 Crores</t>
  </si>
  <si>
    <t>Procurement of batteries, breakers and weigh bridge at Unit-6 and Unit-7 at Parli TPS.</t>
  </si>
  <si>
    <t>R&amp;M-12936</t>
  </si>
  <si>
    <t>40 equal quarterly installments commencing from Sept. 2020 amounting to Rs.0.34 Crores</t>
  </si>
  <si>
    <t>GTR Foundation, approach road to New Parli and Plant internal roads at Parli TPS</t>
  </si>
  <si>
    <t>R&amp;M-12935</t>
  </si>
  <si>
    <t>40 equal quarterly installments commencing from June 2021 amounting to Rs.0.27 Crores</t>
  </si>
  <si>
    <t>Procurement of BFP cartirdge for Unit-3 and Unit-4 at Paras TPS.</t>
  </si>
  <si>
    <t>R&amp;M-12934</t>
  </si>
  <si>
    <t>40 equal quarterly installments commencing from Sept. 2020 amounting to Rs.0.23 Crores</t>
  </si>
  <si>
    <t>System Rehabilitation &amp; Upgradation at Nashik TPS</t>
  </si>
  <si>
    <t>R&amp;M-12933</t>
  </si>
  <si>
    <t>120 equal Monthly installments : commencing from 30th Sept 2022 amounting to Rs.0.07 Crores</t>
  </si>
  <si>
    <t>Supply, Installation &amp; Commissioning of different schemes for MPCB and Station requirement at Koradi TPS.</t>
  </si>
  <si>
    <t>R&amp;M-12932</t>
  </si>
  <si>
    <t>40 equal quarterly installments commencing from March 2021 amounting to Rs.0.29 Crores</t>
  </si>
  <si>
    <t>Procurement of battery set, Air (PA) fan assembly, Jack oil pump, Turbo dirven boiler feed pump (BFP), Cartirdge and restoration of Electro-Static Precipitators (ESP) internals for Unit-5 at Khaperkheda TPS</t>
  </si>
  <si>
    <t>R&amp;M-12931</t>
  </si>
  <si>
    <t>40 equal quarterly installments commencing from Sept. 2020 amounting to Rs.0.26 Crores</t>
  </si>
  <si>
    <t>Procurement of Bulldozer and refurbishment of Apron Feeder at Khaperkheda TPS</t>
  </si>
  <si>
    <t>R&amp;M-12930</t>
  </si>
  <si>
    <t>40 equal quarterly installments commencing from Sept. 2020 amounting to Rs.0.58 Crores</t>
  </si>
  <si>
    <t>Procurement and replacement of Economiser Upper Assemblies at Unit-5 and 6 and Hot Re-heater (HRH) coil at Unit-3 of Chandrapur STPS.</t>
  </si>
  <si>
    <t>R&amp;M-12929</t>
  </si>
  <si>
    <t>40 equal quarterly installments commencing from Sept. 2020 amounting to Rs.3.45 Crores</t>
  </si>
  <si>
    <t>Provision of Coal Transport System at Chandrapur STPS in the State of Maharashtra.-Pipe Conveyor system for transportation of coal</t>
  </si>
  <si>
    <t>R&amp;M-12927</t>
  </si>
  <si>
    <t>120 equal Monthly installments : commencing from 31st March 2023 amounting to Rs.0.17 Crores</t>
  </si>
  <si>
    <t>Replacement of Fire Tender for Chandrapur, Koradi, Khaperkheda, Parli, Paras, Nashik, Bhusawal TPS and Pophali HPS and Uran GTPS.</t>
  </si>
  <si>
    <t>R&amp;M-12926</t>
  </si>
  <si>
    <t>40 equal quarterly installments commencing from -December 2019 amounting to Rs.0.07 Crores</t>
  </si>
  <si>
    <t>Construction of 3rd raising of existing Ash bund from T.B.L. 273. 63 Mtr to 276.63 Mtr with construction of masonry dam (Gabion Structure) at Paras TPS in the State of Maharashtra</t>
  </si>
  <si>
    <t>R&amp;M-12922</t>
  </si>
  <si>
    <t>120 equal Monthly installments : commencing from 30th June 2022 amounting to Rs.0.12 Crores</t>
  </si>
  <si>
    <t>Replacement of Turbine Rotor Blades stage I &amp; II at GT-6 Uran GTPS.</t>
  </si>
  <si>
    <t>R&amp;M-12921</t>
  </si>
  <si>
    <t>40 equal quarterly installments commencing from March 2020 amounting to Rs.0.49 Crores</t>
  </si>
  <si>
    <t>Civil works of providing Road Network at KGS Complex Pophali, Modernisation and Refurbishing of Residential complex and Water supply &amp; sanitary works at Koyna Generating Station Complex (KGSC), Pophali.</t>
  </si>
  <si>
    <t>R&amp;M-12920</t>
  </si>
  <si>
    <t>40 equal quarterly installments commencing from June 2020 amounting to Rs.0.22 Crores</t>
  </si>
  <si>
    <t>Procurement &amp; replacement of   complete set of economizer   coils of unit no. 4, LTSH coils for unit no. 5 and mill base &amp; gear housing with  complete gear box assembly  to achieve improvement in coal mill availability &amp; performance at 210 MW unit 4 &amp; 5 Parli TPS.</t>
  </si>
  <si>
    <t>R&amp;M-12919</t>
  </si>
  <si>
    <t>40 equal quarterly installments commencing from June 2020 amounting to Rs.0.27 Crores</t>
  </si>
  <si>
    <t>Replacement OF ESP internals ESP FOR U#4, U#5 &amp; HT Motor Protection Relays, Microprocessor Based digital Trivector Energy meters, and Measurement of SO2 - NOX for Unit – 4, 5, Continuous Ambient Air Quality Monitoring Station at Parli TPS.</t>
  </si>
  <si>
    <t>R&amp;M-12918</t>
  </si>
  <si>
    <t>40 equal quarterly installments commencing from June 2020 amounting to Rs.0.85 Crores</t>
  </si>
  <si>
    <t>Augmentation of Bottom Ash &amp; Fly Ash Pumping scheme at Paras Thermal Power Station and extension of ash pipe lines from existing ash bund to new ash bund at Gazipur.</t>
  </si>
  <si>
    <t>R&amp;M-12917</t>
  </si>
  <si>
    <t>40 equal quarterly installments commencing from March 2020 amounting to Rs.0.42 Crores</t>
  </si>
  <si>
    <t>Various schemes related to CHP Improvement and Stack Management &amp; Coal Mill Performance Improvement schemes at 2 X 250 MW Units of Paras TPS.</t>
  </si>
  <si>
    <t>R&amp;M-12915</t>
  </si>
  <si>
    <t>40 equal quarterly installments commencing from March 2020 amounting to Rs.0.34 Crores</t>
  </si>
  <si>
    <t>Retrofitting of 6.6 kV Breakers, Battery Replacement, System Improvement &amp; MPCB Related schemes at Nashik TPS.</t>
  </si>
  <si>
    <t>R&amp;M-12912</t>
  </si>
  <si>
    <t>Procurement of 6.6 Kv HT Motors as spare motors/ for Replacement at Nashik TPS.</t>
  </si>
  <si>
    <t>R&amp;M-12910</t>
  </si>
  <si>
    <t>40 equal quarterly installments commencing from March 2020 amounting to Rs.0.27 Crores</t>
  </si>
  <si>
    <t xml:space="preserve">Replacement of complete LTSH coils at Unit-3 Boiler and complete economizer coils at Unit-5 Boiler at Nasik TPS 210 MW.  </t>
  </si>
  <si>
    <t>R&amp;M-12909</t>
  </si>
  <si>
    <t>40 equal quarterly installments commencing from March 2020 amounting to Rs.0.37 Crores</t>
  </si>
  <si>
    <t>Enhance the performance &amp; life of Coal Handling plant at Nashik TPS.</t>
  </si>
  <si>
    <t>R&amp;M-12906</t>
  </si>
  <si>
    <t>40 equal quarterly installments commencing from -December 2019 amounting to Rs.0.32 Crores</t>
  </si>
  <si>
    <t>Various Performance improvement Schemes at KGSC, Pophali.</t>
  </si>
  <si>
    <t>R&amp;M-12904</t>
  </si>
  <si>
    <t>40 equal quarterly installments commencing from June 2020 amounting to Rs.0.28 Crores</t>
  </si>
  <si>
    <t>Third Raising of Ash Bund from T.B.L. 581.50 to 586.50 M of Valley No. 4A at Nashik TPS.</t>
  </si>
  <si>
    <t>R&amp;M-12903</t>
  </si>
  <si>
    <t>40 equal quarterly installments commencing from June 2020 amounting to Rs.0.24 Crores</t>
  </si>
  <si>
    <t>Improvement in Electrical System at Chandrapur TPS.</t>
  </si>
  <si>
    <t>R&amp;M-12902</t>
  </si>
  <si>
    <t>40 equal quarterly installments commencing from -December 2019 AMOUNTING TO Rs.1.27 Crores</t>
  </si>
  <si>
    <t>Restoration of Pond No.3 by desilting and providing peripheral earthen bund with desilted soil and other related appratant works of Nallah training, approach road, C.D. Works, pipe culverts etc at Koradi TPS.</t>
  </si>
  <si>
    <t>R&amp;M-12901</t>
  </si>
  <si>
    <t>40 equal quarterly installments commencing from December 2020 amounting to Rs.0.48 Crores</t>
  </si>
  <si>
    <t>Procurement, installation and commissioning of Gravimetric belt/rotary type Feeder, VFD for CEP, up-gradation of BTS System and implementation of Environmental Schemes at Khaperkheda TPS.</t>
  </si>
  <si>
    <t>R&amp;M-12899</t>
  </si>
  <si>
    <t>40 equal quarterly installments commencing from June 2020 amounting to Rs.0.0010 Crores</t>
  </si>
  <si>
    <t>ESP upgradation for Unit#1 at Khaperkheda TPS.</t>
  </si>
  <si>
    <t>R&amp;M-12898</t>
  </si>
  <si>
    <t>40 equal quarterly installments commencing from -December 2019 amounting to Rs.1.48 Crores</t>
  </si>
  <si>
    <t>Works for Ash Disposal from Khaperkheda 1X500 MW Unit to Nandgaon Ash Bund.</t>
  </si>
  <si>
    <t>R&amp;M-12897</t>
  </si>
  <si>
    <t>40 equal quarterly installments commencing from March 2020 amounting to Rs.0.12 Crores</t>
  </si>
  <si>
    <t>Procurement &amp; Replacement of complete set of LTSH coils for Unit# 3, 4 at Khaperkheda TPS.</t>
  </si>
  <si>
    <t>R&amp;M-12896</t>
  </si>
  <si>
    <t>40 equal quarterly installments commencing from -December 2019 amounting to Rs.0.89 Crores</t>
  </si>
  <si>
    <t>Development of Ash Bund Area at Waregaon, Khaperkheda TPS.</t>
  </si>
  <si>
    <t>R&amp;M-12895</t>
  </si>
  <si>
    <t>40 equal quarterly installments commencing from June 2020 amounting to Rs.0.35 Crores</t>
  </si>
  <si>
    <t>Construction of Quarter Guard, Bachelor Accommodation and allied structures in Phase I &amp; II for induction of CISF Security at Chandrapur TPS.</t>
  </si>
  <si>
    <t>R&amp;M-12894</t>
  </si>
  <si>
    <t>40 equal quarterly installments commencing from December 2020 amounting to Rs.0.34 Crores</t>
  </si>
  <si>
    <t>Retrofitting of existing HT breakers installed at Unit# 3, 4, 5 &amp; 6 of Chandrapur TPS.</t>
  </si>
  <si>
    <t>R&amp;M-12893</t>
  </si>
  <si>
    <t>40 equal quarterly installments commencing from June 2020 amounting to Rs.0.46 Crores</t>
  </si>
  <si>
    <t>Electro-Static Precipitator performance Improvement Unit#3&amp;4 at Chandrapur TPS.</t>
  </si>
  <si>
    <t>R&amp;M-12892</t>
  </si>
  <si>
    <t>40 equal quarterly installments : commencing from Sept. 2020 amounting to Rs.0.42 Crores</t>
  </si>
  <si>
    <t>Performance Improvement &amp; Life Enhancement of 500MW CHP-B at Chandrapur TPS.</t>
  </si>
  <si>
    <t>R&amp;M-12891</t>
  </si>
  <si>
    <t>40 equal quarterly installments : commencing from (Sept 2024.)</t>
  </si>
  <si>
    <t>Procurement of moving blades for LP Turbine and control fluid pumps and AOP for 500 MW Unit# 5, 6 &amp; 7 at Chandrapur TPS.</t>
  </si>
  <si>
    <t>R&amp;M-12890</t>
  </si>
  <si>
    <t>210/500 MW Coal Handling Plant (CHP) Performance Improvement at Chandrapur TPS.</t>
  </si>
  <si>
    <t>R&amp;M-12889</t>
  </si>
  <si>
    <t>40 equal quarterly installments commencing from March 2020 amounting to Rs.0.25 Crores</t>
  </si>
  <si>
    <t>Procurement &amp; replacement of condenser tubes and Boiler Feeder Pump (BFP) cartridges at Chandrapur TPS.</t>
  </si>
  <si>
    <t>R&amp;M-12888</t>
  </si>
  <si>
    <t>40 equal quarterly installments commencing from June 2020 amounting to Rs.0.95 Crores</t>
  </si>
  <si>
    <t>Replacement of Platten Superheater &amp; Eco Coil Additional of Unit# 5 &amp; 6 and Upper &amp; lower low temperature superheater (LTSH) &amp; Eco bottom assemblies of Unit# 7 at Chandrapur TPS.</t>
  </si>
  <si>
    <t>R&amp;M-12887</t>
  </si>
  <si>
    <t>40 equal quarterly installments commencing from June 2020 amounting to Rs.0.30 Crores</t>
  </si>
  <si>
    <t>Replacement of Heating Elements (Baskets) Of Primary and Secondary Air Pre-Heaters of Unit# 5 &amp; 6 At Chandrapur TPS.</t>
  </si>
  <si>
    <t>R&amp;M-12886</t>
  </si>
  <si>
    <t>40 equal quarterly installments commencing from March 2020 amounting to Rs.0.30 Crores</t>
  </si>
  <si>
    <t>Supply of spares for gear box of XRP-1043 coal mill of unit-5&amp;6, Supply &amp; application of wear resistance liners inside the mill body of XRP 1043 Coal Mill of unit-5&amp;6, Supply of main reducer of Coal Mill Gear Box with allied spares for coal mill of unit-7 at Chandrapur TPS.</t>
  </si>
  <si>
    <t>R&amp;M-12885</t>
  </si>
  <si>
    <t>Interconnection of 210 MW CHP to 500 MW CHP through Conveyors BC-02 &amp; BC-03 having capacity of 500 TPH at Bhusawal TPS</t>
  </si>
  <si>
    <t>R&amp;M-12883</t>
  </si>
  <si>
    <t>40 equal quarterly installments commencing from March 2020 amounting to Rs.0.29 Crores</t>
  </si>
  <si>
    <t>Stack management by procurement of Bulldozer &amp; LOCO and CHP area schemes for performance &amp; unloading improvement at Bhusawal TPS.</t>
  </si>
  <si>
    <t>R&amp;M-12882</t>
  </si>
  <si>
    <t>40 equal quarterly installments : commencing from Sept. 2021 amounting to Rs.0.38 Crores</t>
  </si>
  <si>
    <t>Supply, Installation, Commissioning and Operation &amp; Maintenance Services of Continuous Ambient Air Quality Monitoring Stations (CAAQMS) at various TPS in the State of Maharashtra.</t>
  </si>
  <si>
    <t>R&amp;M-12881</t>
  </si>
  <si>
    <t>40 equal quarterly installments : commencing from Sept. 2020 amounting to Rs.0.37 Crores</t>
  </si>
  <si>
    <t>Procurement of Energy Efficient HT Motors at Bhusawal TPS, Koradi TPS, Chandrapur TPS, Khaperkheda TPS, Parli TPS and Paras TPS units.</t>
  </si>
  <si>
    <t>R&amp;M-12856</t>
  </si>
  <si>
    <t>7 equal annual installments commenced from 15-January 2018</t>
  </si>
  <si>
    <t>Procurement of Spare HPT Module for Khaperkheda TPS</t>
  </si>
  <si>
    <t>R&amp;M-6135</t>
  </si>
  <si>
    <t>7 equal annual installments commencing from 15-January 2022</t>
  </si>
  <si>
    <t>Combustion Optimization &amp; Process improvement scheme at Nashik TPS</t>
  </si>
  <si>
    <t>R&amp;M-6126</t>
  </si>
  <si>
    <t>Hypothecatio of Surplus all Fixed aseets of Bhusawal 4&amp;5, Chandrapur 8&amp;9 and Parli U 8</t>
  </si>
  <si>
    <t>120 equal Monthly instalments commencing from 1.12.2026</t>
  </si>
  <si>
    <t>Gare Palma Project</t>
  </si>
  <si>
    <t>Gare Palma -16770</t>
  </si>
  <si>
    <t>New Entry</t>
  </si>
  <si>
    <t>Hypothecation of Present &amp; Future assets created / to be created for subject FGD Project AND Hypothecation of existing movable assets of Parli TPS Unit-8 (250 MW) to the tune of Rs. 225.75 crores.</t>
  </si>
  <si>
    <t>120 equal monthly installments : commencing from 31st March 2024</t>
  </si>
  <si>
    <t>Installation of Pollution control Equipments (FGD) at Koradi TPS Unit No-8-9-10 (3x660 MW).</t>
  </si>
  <si>
    <t>Koradi TPS (3x660 MW)-14944 FGD Installation</t>
  </si>
  <si>
    <t>Hypothecation of Present &amp; Future assets created / to be created for subject FGD project together with Mortgage on Land of Bhusawal Repl Unit-6</t>
  </si>
  <si>
    <t>180 equal MOnthly installments : commencing from March 2025</t>
  </si>
  <si>
    <t>Installation of Pollution control Equipments (FGD) at Bhusawal Replacement Project Unit No-6 (660 MW) at Bhusawal Dist. Jalgaon, Maharashtra.</t>
  </si>
  <si>
    <t>BSL Repl-15090 FGD Installation</t>
  </si>
  <si>
    <t>Mortgage/ Hypothecation of Present &amp; Future assets created / to be created for subject project together with Land</t>
  </si>
  <si>
    <t>180 equal MOnthly installments : commenced from December 2023</t>
  </si>
  <si>
    <t>Setting up of Bhusawal Replacement Project Unit No-6 (660 MW) at Bhusawal Dist. Jalgaon, Maharashtra.</t>
  </si>
  <si>
    <t>BSL Repl-13399, 15090</t>
  </si>
  <si>
    <t>Hypothecation of movable assets of Bhusawal TPS Unit No.  2 and 3 (210 MW each).</t>
  </si>
  <si>
    <t>48 equal quarterly installments : commenced from March 2018. However, from July 2022, equal quarterly installment is converted in equal monthly installments of Rs.1.09 Crores</t>
  </si>
  <si>
    <t>130 MLD Sewage Treatment Plant at Koradi Project (3x660 MW)</t>
  </si>
  <si>
    <t>38 equal quarterly installments : commenced from June 2017. However, from July 2022, equal quarterly installment is converted in equal monthly installments of Rs.17.89 Crores</t>
  </si>
  <si>
    <t>Koradi Project (3x660 MW)- Debt Refinancing</t>
  </si>
  <si>
    <t>48 equal quarterly installments : commenced from September 2017. However, from July 2022, equal quarterly installment is converted in equal monthly installments of Rs.11.41 Crores</t>
  </si>
  <si>
    <t>Parli Replacement Project</t>
  </si>
  <si>
    <t>C-90003 &amp; 12610884</t>
  </si>
  <si>
    <t>48 equal quarterly installments : commenced from September 2017. However, from July 2022, equal quarterly installment is converted in equal monthly installments of Rs.45.33 Crores</t>
  </si>
  <si>
    <t>Chandrapur Expansion Project</t>
  </si>
  <si>
    <t>C-90002 &amp; 12610786, 12610622,      15220-A3</t>
  </si>
  <si>
    <t>53302 &amp; 53560</t>
  </si>
  <si>
    <t>48 equal quarterly installments : commenced from March 2016. However, from July 2022, equal quarterly installment is converted in equal monthly installments of Rs.35.91 Crores</t>
  </si>
  <si>
    <t>Bhusawal Expansion Project</t>
  </si>
  <si>
    <t>C-90001</t>
  </si>
  <si>
    <t>96 equal monthly installments : commencing from 10th June 2025 (24 months moratorium)</t>
  </si>
  <si>
    <t>PFC</t>
  </si>
  <si>
    <t>96 equal monthly installments : commencing from 10th April 2025 (24 months moratorium)</t>
  </si>
  <si>
    <t>96 equal monthly installments : commencing from 10th Aug 2024</t>
  </si>
  <si>
    <t>Hypothecation of movable assets of Koradi TPS (3x660 MW) Unit No. 8,9 &amp; 10 on pari passu basis with REC.</t>
  </si>
  <si>
    <t>96 equal monthly installments : commencing from 10th September 2022</t>
  </si>
  <si>
    <t>Hypothecatio of Surplus Assets of Parli u-6 &amp; Parli U-7</t>
  </si>
  <si>
    <t>72 Equal Monthly installements</t>
  </si>
  <si>
    <t>Electrostatic Precipitator (ESP) Upgradation for 1X500 MW (Unit#6) Chandrapur TPS</t>
  </si>
  <si>
    <t>Electrostatic Precipitator (ESP) Upgradation for 1X500 MW (Unit#5) Chandrapur TPS</t>
  </si>
  <si>
    <t>Electrostatic Precipitator (ESP) Upgradation for 1X210 MW (Unit#2) Khaperkheda TPS.</t>
  </si>
  <si>
    <t>Electrostatic Precipitator (ESP) Upgradation for 1X210 MW (Unit#1) Khaperkheda TPS.</t>
  </si>
  <si>
    <t>Mortgage/Hypothecation of Future Assets (with 1.1 times cover)</t>
  </si>
  <si>
    <t>174 Equal Monthly installements : Commencing from March 2027</t>
  </si>
  <si>
    <t>Installation of Pollution Control Equipments (FGD) at Parli TPS Unit-8 250 MW.</t>
  </si>
  <si>
    <t>114 Equal Monthly installements :Commencing from April 2026</t>
  </si>
  <si>
    <t>Installation of Pollution Control Equipments (FGD) at 2x250 MW (Unit-3 &amp; 4), Paras TPS</t>
  </si>
  <si>
    <t>72 Equal Monthly installements Commencing from July 2024</t>
  </si>
  <si>
    <t>Installation of Pollution Control Equipments (Dry Sorbent Injection based FGD system) at 2X210 MW (Unit # 6 &amp; 7) Koradi TPS.-Loan is to be availed only for U-6.</t>
  </si>
  <si>
    <t>Installation of Pollution Control Equipments (Dry Sorbent Injection based FGD system) at 4X210 MW (Unit # 1, 2, 3 &amp; 4) Khaperkheda TPS.</t>
  </si>
  <si>
    <t>Moveble assets of Nashik TPS Unit 3,4 &amp; 5 are poposed for this Loan (DOH will be executed soon)</t>
  </si>
  <si>
    <t>120 Monthly installments (on 15th) : Commencing from April 2028</t>
  </si>
  <si>
    <t>Land acquisition, Rehabilitation &amp; Resettlement, Residential building, Exploration &amp; GR Cost and upfront amount towards Gare Palma-II coalmine.</t>
  </si>
  <si>
    <t>Hypothecation of Plant &amp; Machinery of Parli TPS unit 6</t>
  </si>
  <si>
    <t>180 Monthly installments (on 15th) : Commenincing from Sept 2024</t>
  </si>
  <si>
    <t>Implementation of 6 nos. of scheme of Hydro Power Circles under Renewable Energy Circle, Pune.</t>
  </si>
  <si>
    <t>180 Monthly installments (on 15th) : Commenincing from Dec 2024</t>
  </si>
  <si>
    <t>Human Machine Interface (HMI) up-gradation of Distributed Control System (DCS) at U-6 and U-7 and procurement of Assemblies for  Reducer Gear Box for coal mills at Parli TPS.</t>
  </si>
  <si>
    <t>180 Monthly installments (on 15th) : Commenincing from</t>
  </si>
  <si>
    <t>Replacement of water wall panels in U-4 and installation of Variable Frequency Drive (VFD) to existing eddy current drive driven coal feeders at Paras TPS</t>
  </si>
  <si>
    <t>180 Monthly installments (on 15th) : Commencing from Oct. 2024</t>
  </si>
  <si>
    <t>Life enhancement of Stacker Reclaimer Machine in Coal Handling Plant (CHP) and Up-gradation of SWAS Laboratory at Nashik TPS</t>
  </si>
  <si>
    <t>180 Monthly installments (on 15th) : Commencing from Sept 2024</t>
  </si>
  <si>
    <t>Work of pipeline from river water pump house (RWPH) to aqueduct over Bhogawati river and other allied power house road work at Bhusawal TPS.</t>
  </si>
  <si>
    <t>Assets of Parli TPS Unit 3,4 &amp; 5 together with land</t>
  </si>
  <si>
    <t>40 equal quarterly installments : commenced from October 2013</t>
  </si>
  <si>
    <t>Buyers Line of Credit - Capex schemes for existing Power Plants</t>
  </si>
  <si>
    <t>Hypothecation of Future assets to be created from the Capex Scheme</t>
  </si>
  <si>
    <t>60 equal quarterly installments : commencing from October 2021</t>
  </si>
  <si>
    <t>Provision of Pipe Conveyor System for transportation of coal from WCL mines to Koradi and Khaperkheda TPS.</t>
  </si>
  <si>
    <t>Movable assets of Nashik TPS Unit 3,4 &amp; 5.</t>
  </si>
  <si>
    <t>60 equal quarterly installments : commenced from October 2015 amounting to Rs.0.10 Crores</t>
  </si>
  <si>
    <t>Various Schemes of Small Hydro Stations in Maharashtra. (Pune SHPC and Nashik SHPC</t>
  </si>
  <si>
    <t>60 equal quarterly installments : commenced from October 2015 amounting to Rs.0.03 Crores</t>
  </si>
  <si>
    <t>Power supply arrangement at Colony, separate 25 KV OHE supply feeding arrangement to BESG siding &amp; providing of passenger elevators  at Paras TPS</t>
  </si>
  <si>
    <t>60 equal quarterly installments : commenced from October 2015 amounting to Rs.0.11 Crores</t>
  </si>
  <si>
    <t>Various Schemes of KGSC, Phophali in Maharashtra</t>
  </si>
  <si>
    <t>60 equal quarterly installments : commenced from October 2015 amounting to Rs.0.02 Crores</t>
  </si>
  <si>
    <t>Expediting  unloading of Coal Wagons by Up-grading the existing system in Maharashtra. (DPR of Nashik TPS)</t>
  </si>
  <si>
    <t>60 equal quarterly installments : commenced from Jan 2017 amounting to Rs.0.18 Crores</t>
  </si>
  <si>
    <t>Construction of Concrete Road from Nashik-Pune Highway to Booster Pump House at Nashik TPS</t>
  </si>
  <si>
    <t>60 equal quarterly installments : commenced on October 2014 amounting to Rs.0.43 Crores</t>
  </si>
  <si>
    <t>R &amp; M for Turbine Auxiliary Consumption Improvement at Stage II (Unit 3,4 &amp; 5 3x210 MW), Nashik TPS.</t>
  </si>
  <si>
    <t>60 equal quarterly installments : commencing from April 2018 amounting to Rs.0.45 Crores</t>
  </si>
  <si>
    <t>Procurement of High Pressure Turbine (HPT Module for Khaperkheda TPS Unit 1 &amp; 2.</t>
  </si>
  <si>
    <t>First charge on movable assets of SG &amp; TG and other Package of Parli TPS U-6 (1*250 MW) and one common spare LP Rotar for Chandrapur TPS  u- 5,6 &amp; 7</t>
  </si>
  <si>
    <t>60 equal quarterly installments : commenced from Jan 2015 amounting to Rs.0.29 Crores</t>
  </si>
  <si>
    <t>Renovation and Upgradation of GT Automation System, Starting Frequency converter &amp; Static Excitation system of unit 7 &amp; 8, Stage -II of Uran GTPS</t>
  </si>
  <si>
    <t>Assets of Paras TPS Unit 4 together with land</t>
  </si>
  <si>
    <t>60 equal quarterly installments : commencing from October 2015 amounting to Rs.0.12 Crores</t>
  </si>
  <si>
    <t>R&amp;M for Replacement of BFP (200 KHI) cartridge with energy efficient cartridge for Unit  3,4 &amp; 5 of Parli TPS.</t>
  </si>
  <si>
    <t>60 equal quarterly installments : commenced from October 2016 amounting to Rs.0.12 Crores</t>
  </si>
  <si>
    <t>R&amp;M for Turbine Auxiliary Performance Improvement Scheme of Bhusawal TPS.</t>
  </si>
  <si>
    <t>R&amp;M for Boiler &amp; Turbine Improvement (Station heat improvement) Scheme of Bhusawal TPS.</t>
  </si>
  <si>
    <t>60 equal quarterly installments : commenced from October 2016 amounting to Rs.0.0102 Crores</t>
  </si>
  <si>
    <t>R&amp;M for Measuring &amp; Monitoring of Coal consumption of Bhusawal TPS</t>
  </si>
  <si>
    <t>40 equal quarterly installments : commencing from July 2019 amounting to Rs.0.07 Crores</t>
  </si>
  <si>
    <t>R&amp;M for Process Improvement at Unit 3,4 &amp; 5 of Nashik TPS Stage-II (3x210 MW).</t>
  </si>
  <si>
    <t>60 equal quarterly installments : commenced from October 2015 amounting to Rs.0.41 Crores</t>
  </si>
  <si>
    <t>R&amp;M of Condenser Cooling System of Unit 5&amp;6 of CSTPS</t>
  </si>
  <si>
    <t>R&amp;M of Ash Handling System of Unit 5&amp;6 of CSTPS</t>
  </si>
  <si>
    <t>60 equal quarterly installments : commencing from October 2018 amounting to Rs.1.63 Crores</t>
  </si>
  <si>
    <t>R&amp;M of Boiler &amp; Turbine Improvement Scheme of Chandrapur STPS.</t>
  </si>
  <si>
    <t>Assets of Parli TPS Unit 7 together with land</t>
  </si>
  <si>
    <t>40 equal quarterly installments : commenced from October 2018 amounting to Rs.3.55 Crores</t>
  </si>
  <si>
    <t>R&amp;M of water supply systemof Parli TPS from Majalgaon Lift Irrigation Scheme.</t>
  </si>
  <si>
    <t>60 equal quarterly installments : commenced from October 2016 amounting to Rs.0.11 Crores</t>
  </si>
  <si>
    <t>R&amp;M of Unit 5,6 &amp; 7 of Koradi TPS</t>
  </si>
  <si>
    <t>A first pari-passu charge on all the movable &amp; immovable assets of 3x660 MW Koradi Expn TPS including movable machinery, machinery spares, tools &amp; accessories &amp; material at project site, both present &amp; future with a coverage of 1.25 times.</t>
  </si>
  <si>
    <t>60 equal quarterly installments : Commenced from July 2017.However, from August 2022, equal quarterly installment is converted in equal monthly installments of Rs.55.53 Crores</t>
  </si>
  <si>
    <t>KORADI TPS EXPANSION PROJECT (3x660 MW)</t>
  </si>
  <si>
    <t xml:space="preserve">Hypothecation of movable assets of SG &amp; TG and other BHEL Package amounting to RS 380 Crores of Parli TPS unit I (1x250 MW) </t>
  </si>
  <si>
    <t>48 equal quarterly installments : commenced from April 2013 amounting to Rs.0.60 Crores</t>
  </si>
  <si>
    <t>Procurement of LP Rotor as a common spare for Unit 5,6 &amp; 7 of Chandrapur STPS</t>
  </si>
  <si>
    <t>Mortgage/ Hypothecation of Future assets to be created for project together with Land</t>
  </si>
  <si>
    <t>60 equal quarterly installments from April 2011. However, from August 2022, equal quarterly installment is converted in equal monthly installments of Rs.7.41 Crores</t>
  </si>
  <si>
    <t>PARAS EXPANSION PROJECT UNIT 2</t>
  </si>
  <si>
    <t>60 equal quarterly installments from April 2011. However, from August 2022, equal quarterly installment is converted in equal monthly installments of Rs.5.93 Crores</t>
  </si>
  <si>
    <t>NEW PARLI EXPANSION PROJECT UNIT 2</t>
  </si>
  <si>
    <t>Nature of security</t>
  </si>
  <si>
    <t>Rate of Interest (WA-ROI)</t>
  </si>
  <si>
    <t>Mode of Repayment</t>
  </si>
  <si>
    <t>Net long term borrowings.</t>
  </si>
  <si>
    <t>Loan to be repaid within 1 year treated as current liability</t>
  </si>
  <si>
    <t>Outstanding balance as on 31.3.2024</t>
  </si>
  <si>
    <t>Nature of loan</t>
  </si>
  <si>
    <t>Loan No</t>
  </si>
  <si>
    <t>SAP GL</t>
  </si>
  <si>
    <t>Particulars of Lender</t>
  </si>
  <si>
    <t>( Rs. in Crores)</t>
  </si>
  <si>
    <t>Long Term Borrowing ( Annexure A)</t>
  </si>
  <si>
    <t>Terms of Repayments</t>
  </si>
  <si>
    <t>SHORT TERM BORROWING (Annexure B)</t>
  </si>
  <si>
    <t>Loan sanctioned</t>
  </si>
  <si>
    <t>Outstanding balance as on 31.3.2023</t>
  </si>
  <si>
    <t>Terms of Repayment</t>
  </si>
  <si>
    <t>Rate of Interest</t>
  </si>
  <si>
    <t>Bank of India</t>
  </si>
  <si>
    <t>50201-WCDL</t>
  </si>
  <si>
    <t>Cash Credits / Working Capital Demand Loan</t>
  </si>
  <si>
    <t>Sanctioned for a period of one year and renewal on yearly basis</t>
  </si>
  <si>
    <t>Rate of interest is based on Bank's MCLR (presently 8.35%)</t>
  </si>
  <si>
    <t>1) Book debts and stocks upto limit of Rs 10500 cr   2) Land &amp; Building, P&amp;M &amp; other assets of Chandrapur TPS Unit 3,4,5,6 &amp; 7.                             3) Movable assets of Sakhri Dhule Power Plant &amp; Uran GTPS                        4) collateral security in the form of charge on movable assets of Khaperkheda TPS Unit 1,2,3 &amp; 4</t>
  </si>
  <si>
    <t>Bank of Maharashtra</t>
  </si>
  <si>
    <t>50202 - WCDL</t>
  </si>
  <si>
    <t>Rate of interest is based on Bank's MCLR (presently 8.30%)</t>
  </si>
  <si>
    <t>Canara Bank</t>
  </si>
  <si>
    <t>50203-WCDL</t>
  </si>
  <si>
    <t>Rate of interest is based on Bank's MCLR (presently 8.25%)</t>
  </si>
  <si>
    <t>Indian Bank</t>
  </si>
  <si>
    <t>50204-WCDL</t>
  </si>
  <si>
    <t>Rate of interest is based on Bank's MCLR (presently 8.35% )</t>
  </si>
  <si>
    <t>Central Bank of India</t>
  </si>
  <si>
    <t>50205-WCDL</t>
  </si>
  <si>
    <t>Rate of interest is based on Bank's MCLR (presently 8.05% )</t>
  </si>
  <si>
    <t>50206-WCDL</t>
  </si>
  <si>
    <t>Rate of interest is based on Bank's MCLR (presently 8.23% )</t>
  </si>
  <si>
    <t>CC from SBI 2465-SECR</t>
  </si>
  <si>
    <t>24128/24129-CC</t>
  </si>
  <si>
    <t>Presently ROI is 9.15%</t>
  </si>
  <si>
    <t>CC from SBI 8427-SCR</t>
  </si>
  <si>
    <t>24126/24127-CC</t>
  </si>
  <si>
    <t>CC from SBI 1663-ECOR         </t>
  </si>
  <si>
    <t>24136/24137-CC</t>
  </si>
  <si>
    <t>CC from SBI 1081-SER</t>
  </si>
  <si>
    <t>24138/24139-CC</t>
  </si>
  <si>
    <t>CC frm BoI</t>
  </si>
  <si>
    <t>24021/24022-CC</t>
  </si>
  <si>
    <t>Presently ROI is 10.05%</t>
  </si>
  <si>
    <t>CC frm BoM</t>
  </si>
  <si>
    <t>24041/24042-CC</t>
  </si>
  <si>
    <t>Presently ROI is 8.75%</t>
  </si>
  <si>
    <t>CC frm Canara          </t>
  </si>
  <si>
    <t>24061/24062-CC</t>
  </si>
  <si>
    <t>Presently ROI is 10.50%</t>
  </si>
  <si>
    <t>Maharashtra State Co-Operative Bank Ltd.</t>
  </si>
  <si>
    <t>Tenure - 1 Year. Repayable in 6 monthly equal installments commencing from 23.06.2023</t>
  </si>
  <si>
    <t>Corporate gaurantee of MSEB Holding Company</t>
  </si>
  <si>
    <t>Tenure - 1 Year. Repayable in 12 monthly equal installments commencing from 31.12.2022</t>
  </si>
  <si>
    <t>Tenure - 1 Year. Repayable in 12 monthly equal installments commencing from 29.04.2023</t>
  </si>
  <si>
    <t>Tenure - 3 year .36 equal monthly installments</t>
  </si>
  <si>
    <t>Pari-passu charge on movable assets of Khaperkheda TPS Unit 1,2,3 &amp; 4</t>
  </si>
  <si>
    <t>Bank of Baroda</t>
  </si>
  <si>
    <t>Tenure - 3 years. The facility is proposed to be repaid over 3 years commencing from F.Y.2022-23 (annuel bullet inequal installments - Rs.400 cr each in F.Y.2022-23 &amp; F.Y.2023-24 and Rs.200 crores in F.Y.2024-25</t>
  </si>
  <si>
    <t>Pari-passu charge on movable assets of Koradi TPS Unit 6 &amp; 7</t>
  </si>
  <si>
    <t>Gadchiroli DCC Bank</t>
  </si>
  <si>
    <t>Tenure- 3 year. Principle amount shall be repayable by 36 equal monthly installments starting from 23.07.2021</t>
  </si>
  <si>
    <t>Total as per Balance sheet</t>
  </si>
  <si>
    <t>diff</t>
  </si>
  <si>
    <t>31.3.2024</t>
  </si>
  <si>
    <t>31.3.2023</t>
  </si>
  <si>
    <t>Capital Grant</t>
  </si>
  <si>
    <t>Retentions and Payables</t>
  </si>
  <si>
    <t>31.03.2023</t>
  </si>
  <si>
    <t>Total Tangible Assets</t>
  </si>
  <si>
    <t>Right to use Assets</t>
  </si>
  <si>
    <t>Intantible Assets</t>
  </si>
  <si>
    <t>Freehold land</t>
  </si>
  <si>
    <t>Factory Buildings</t>
  </si>
  <si>
    <t xml:space="preserve">Plant &amp; Machinery </t>
  </si>
  <si>
    <t>Intangible assets</t>
  </si>
  <si>
    <t>Income Tax refundable net of provisions</t>
  </si>
  <si>
    <t>Deferred Lease Rent</t>
  </si>
  <si>
    <t>Advances for O&amp;M</t>
  </si>
  <si>
    <t>Advance to Irigation Department</t>
  </si>
  <si>
    <t>Non Current Investments</t>
  </si>
  <si>
    <t>Raw Material (Coal)</t>
  </si>
  <si>
    <t>Fuel, Oil, LDO etc.</t>
  </si>
  <si>
    <t>Stock in transit</t>
  </si>
  <si>
    <t>Provision for material shortage pending investigation</t>
  </si>
  <si>
    <t>Recoverable from Contractors, Deposits paid by Mahagenco</t>
  </si>
  <si>
    <t>Tax Claims</t>
  </si>
  <si>
    <t xml:space="preserve">    Right To Use Assets</t>
  </si>
  <si>
    <t>Other financial assets</t>
  </si>
  <si>
    <t>(g)</t>
  </si>
  <si>
    <t>(h)</t>
  </si>
  <si>
    <t>Assets classified as held for sale / disposal</t>
  </si>
  <si>
    <t>Other non-current financial assets</t>
  </si>
  <si>
    <t>Non - Current</t>
  </si>
  <si>
    <t>Sale of power</t>
  </si>
  <si>
    <t>Miscellaneous Operating Income</t>
  </si>
  <si>
    <t>Fuel Adjustment Charges</t>
  </si>
  <si>
    <t>Govt Grant Amortization</t>
  </si>
  <si>
    <t>Late payment surcharge</t>
  </si>
  <si>
    <t>Lease hold land</t>
  </si>
  <si>
    <t>Less:- Capitalised</t>
  </si>
  <si>
    <t>Intangible Asset</t>
  </si>
  <si>
    <t>Plant and Machinery &amp; buildings</t>
  </si>
  <si>
    <t>Hydro Lease Rent</t>
  </si>
  <si>
    <t>Payment to Auditors</t>
  </si>
  <si>
    <t>Non OCI Deferred tax gain</t>
  </si>
  <si>
    <t>OCI Deferred tax gain</t>
  </si>
  <si>
    <t>others</t>
  </si>
  <si>
    <t>vii</t>
  </si>
  <si>
    <t>Exceptional Items</t>
  </si>
  <si>
    <t>Note 28B: Exceptional Items</t>
  </si>
  <si>
    <t>Term Loan from PFC</t>
  </si>
  <si>
    <t>Total PFC</t>
  </si>
  <si>
    <t>Term Loans from REC</t>
  </si>
  <si>
    <t>Total-REC</t>
  </si>
  <si>
    <t>Total-Others</t>
  </si>
  <si>
    <t>Gr. Total</t>
  </si>
  <si>
    <t>C-90002 &amp; 12610786, 12610622</t>
  </si>
  <si>
    <t>BSL Repl-13399</t>
  </si>
  <si>
    <t>R&amp;M-6138</t>
  </si>
  <si>
    <t>R&amp;M-6139</t>
  </si>
  <si>
    <t>R&amp;M-6152</t>
  </si>
  <si>
    <t>R&amp;M-6158</t>
  </si>
  <si>
    <t>MTL-14843</t>
  </si>
  <si>
    <t>MTL-15798</t>
  </si>
  <si>
    <t>Total Others</t>
  </si>
  <si>
    <t>Term Loan from KfW Germany</t>
  </si>
  <si>
    <t>Credit Impaired</t>
  </si>
  <si>
    <t>Right to use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</si>
</sst>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4">
    <numFmt numFmtId="43" formatCode="_(* #,##0.00_);_(* \(#,##0.00\);_(* &quot;-&quot;??_);_(@_)"/>
    <numFmt numFmtId="164" formatCode="_ &quot;Rs.&quot;\ * #,##0.00_ ;_ &quot;Rs.&quot;\ * \-#,##0.00_ ;_ &quot;Rs.&quot;\ * &quot;-&quot;??_ ;_ @_ "/>
    <numFmt numFmtId="165" formatCode="0.000"/>
    <numFmt numFmtId="166" formatCode="0.0"/>
    <numFmt numFmtId="167" formatCode="0.00_);\(0.00\)"/>
    <numFmt numFmtId="168" formatCode="0.0_);\(0.0\)"/>
    <numFmt numFmtId="169" formatCode="0.000_);\(0.000\)"/>
    <numFmt numFmtId="170" formatCode="0_);[Red]\(0\)"/>
    <numFmt numFmtId="171" formatCode="0.0_);[Red]\(0.0\)"/>
    <numFmt numFmtId="172" formatCode="0.00_);[Red]\(0.00\)"/>
    <numFmt numFmtId="173" formatCode="0.000_);[Red]\(0.000\)"/>
    <numFmt numFmtId="174" formatCode="0.00000_);[Red]\(0.00000\)"/>
    <numFmt numFmtId="175" formatCode="00000"/>
    <numFmt numFmtId="176" formatCode="0_);\(0\)"/>
    <numFmt numFmtId="177" formatCode="0.0000%"/>
    <numFmt numFmtId="178" formatCode="#,##0;[Red]#,##0"/>
    <numFmt numFmtId="179" formatCode="[$-409]d\-mmm\-yy;@"/>
    <numFmt numFmtId="180" formatCode="_-* #,##0.00_-;\-* #,##0.00_-;_-* &quot;-&quot;??_-;_-@_-"/>
    <numFmt numFmtId="181" formatCode="0.0000000000000"/>
    <numFmt numFmtId="182" formatCode="_(* #,##0.0000000_);_(* \(#,##0.0000000\);_(* &quot;-&quot;??_);_(@_)"/>
    <numFmt numFmtId="183" formatCode="_(* #,##0_);_(* \(#,##0\);_(* &quot;-&quot;??_);_(@_)"/>
    <numFmt numFmtId="184" formatCode="_-* #,##0.0000000_-;\-* #,##0.0000000_-;_-* &quot;-&quot;??_-;_-@_-"/>
    <numFmt numFmtId="185" formatCode="_-* #,##0_-;\-* #,##0_-;_-* &quot;-&quot;??_-;_-@_-"/>
    <numFmt numFmtId="186" formatCode="0.0000000"/>
    <numFmt numFmtId="187" formatCode="0.0000000_);\(0.0000000\)"/>
    <numFmt numFmtId="188" formatCode="0.00000000"/>
    <numFmt numFmtId="189" formatCode="_(* #,##0.000000_);_(* \(#,##0.000000\);_(* &quot;-&quot;??_);_(@_)"/>
    <numFmt numFmtId="190" formatCode="0.000000000"/>
    <numFmt numFmtId="191" formatCode="_(* #,##0.0_);_(* \(#,##0.0\);_(* &quot;-&quot;??_);_(@_)"/>
    <numFmt numFmtId="192" formatCode="_(* #,##0.000_);_(* \(#,##0.000\);_(* &quot;-&quot;??_);_(@_)"/>
    <numFmt numFmtId="193" formatCode="0.000000000000"/>
    <numFmt numFmtId="194" formatCode="_-* #,##0.00000_-;\-* #,##0.00000_-;_-* &quot;-&quot;??_-;_-@_-"/>
    <numFmt numFmtId="195" formatCode="_-* #,##0.00000000_-;\-* #,##0.00000000_-;_-* &quot;-&quot;??_-;_-@_-"/>
    <numFmt numFmtId="196" formatCode="_(* #,##0.000000000_);_(* \(#,##0.000000000\);_(* &quot;-&quot;??_);_(@_)"/>
    <numFmt numFmtId="197" formatCode="_(* #,##0.00000_);_(* \(#,##0.00000\);_(* &quot;-&quot;??_);_(@_)"/>
    <numFmt numFmtId="198" formatCode="0.00000000000000"/>
    <numFmt numFmtId="199" formatCode="0.000000_);\(0.000000\)"/>
    <numFmt numFmtId="200" formatCode="_(* #,##0.00000000_);_(* \(#,##0.00000000\);_(* &quot;-&quot;??_);_(@_)"/>
    <numFmt numFmtId="201" formatCode="_-* #,##0.00000000000000000_-;\-* #,##0.00000000000000000_-;_-* &quot;-&quot;??_-;_-@_-"/>
    <numFmt numFmtId="202" formatCode="0.00000000000"/>
    <numFmt numFmtId="203" formatCode="0.0000"/>
    <numFmt numFmtId="204" formatCode="#,##0.00000"/>
    <numFmt numFmtId="205" formatCode="0.000000"/>
    <numFmt numFmtId="206" formatCode="_-* #,##0.0000000_-;\-* #,##0.0000000_-;_-* &quot;-&quot;???????_-;_-@_-"/>
    <numFmt numFmtId="207" formatCode="_ * #,##0.00_ ;_ * \-#,##0.00_ ;_ * &quot;-&quot;??_ ;_ @_ "/>
    <numFmt numFmtId="208" formatCode="0.000000000000000000"/>
    <numFmt numFmtId="209" formatCode="#,##0.000000000000"/>
    <numFmt numFmtId="210" formatCode="0.00000"/>
    <numFmt numFmtId="211" formatCode="_(* #,##0.0000_);_(* \(#,##0.0000\);_(* &quot;-&quot;??_);_(@_)"/>
    <numFmt numFmtId="212" formatCode="_ * #,##0.0000000_ ;_ * \-#,##0.0000000_ ;_ * &quot;-&quot;??_ ;_ @_ "/>
    <numFmt numFmtId="213" formatCode="_-* #,##0.000000_-;\-* #,##0.000000_-;_-* &quot;-&quot;??_-;_-@_-"/>
    <numFmt numFmtId="214" formatCode="0.0000000000"/>
    <numFmt numFmtId="215" formatCode="#,###,##0.00_);[Red]\(#,###,##0.00\)"/>
    <numFmt numFmtId="216" formatCode="#,##0.000"/>
  </numFmts>
  <fonts count="10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u/>
      <sz val="10"/>
      <color indexed="12"/>
      <name val="Arial"/>
      <family val="2"/>
    </font>
    <font>
      <b/>
      <sz val="11"/>
      <name val="Times New Roman"/>
      <family val="1"/>
    </font>
    <font>
      <sz val="11"/>
      <name val="Times New Roman"/>
      <family val="1"/>
    </font>
    <font>
      <sz val="11"/>
      <color theme="1"/>
      <name val="Calibri"/>
      <family val="2"/>
      <scheme val="minor"/>
    </font>
    <font>
      <b/>
      <sz val="11"/>
      <color theme="0"/>
      <name val="Times New Roman"/>
      <family val="1"/>
    </font>
    <font>
      <sz val="11"/>
      <color theme="0"/>
      <name val="Times New Roman"/>
      <family val="1"/>
    </font>
    <font>
      <sz val="11"/>
      <color rgb="FFFF0000"/>
      <name val="Times New Roman"/>
      <family val="1"/>
    </font>
    <font>
      <sz val="11"/>
      <color theme="1"/>
      <name val="Times New Roman"/>
      <family val="1"/>
    </font>
    <font>
      <b/>
      <sz val="12"/>
      <color indexed="18"/>
      <name val="Arial"/>
      <family val="2"/>
    </font>
    <font>
      <sz val="10"/>
      <color indexed="18"/>
      <name val="Arial"/>
      <family val="2"/>
    </font>
    <font>
      <u/>
      <sz val="10"/>
      <color theme="10"/>
      <name val="Arial"/>
      <family val="2"/>
    </font>
    <font>
      <b/>
      <sz val="11"/>
      <color theme="1"/>
      <name val="Times New Roman"/>
      <family val="1"/>
    </font>
    <font>
      <b/>
      <sz val="11"/>
      <color theme="1"/>
      <name val="Calibri"/>
      <family val="2"/>
      <scheme val="minor"/>
    </font>
    <font>
      <sz val="11"/>
      <color theme="0"/>
      <name val="Calibri"/>
      <family val="2"/>
      <scheme val="minor"/>
    </font>
    <font>
      <sz val="10"/>
      <color theme="1"/>
      <name val="Arial"/>
      <family val="2"/>
    </font>
    <font>
      <sz val="11"/>
      <color indexed="8"/>
      <name val="Calibri"/>
      <family val="2"/>
    </font>
    <font>
      <b/>
      <sz val="11"/>
      <color indexed="8"/>
      <name val="Arial"/>
      <family val="2"/>
    </font>
    <font>
      <b/>
      <sz val="12"/>
      <color indexed="8"/>
      <name val="Arial"/>
      <family val="2"/>
    </font>
    <font>
      <b/>
      <sz val="14"/>
      <color indexed="8"/>
      <name val="Arial"/>
      <family val="2"/>
    </font>
    <font>
      <sz val="11"/>
      <name val="Arial"/>
      <family val="2"/>
    </font>
    <font>
      <sz val="11"/>
      <color indexed="8"/>
      <name val="Arial"/>
      <family val="2"/>
    </font>
    <font>
      <b/>
      <sz val="10"/>
      <name val="Arial"/>
      <family val="2"/>
    </font>
    <font>
      <b/>
      <u/>
      <sz val="11"/>
      <color indexed="8"/>
      <name val="Arial"/>
      <family val="2"/>
    </font>
    <font>
      <b/>
      <sz val="11"/>
      <name val="Arial"/>
      <family val="2"/>
    </font>
    <font>
      <sz val="12"/>
      <color indexed="8"/>
      <name val="Arial"/>
      <family val="2"/>
    </font>
    <font>
      <sz val="12"/>
      <color indexed="10"/>
      <name val="Arial"/>
      <family val="2"/>
    </font>
    <font>
      <sz val="10"/>
      <color rgb="FFFFFFFF"/>
      <name val="Arial"/>
      <family val="2"/>
    </font>
    <font>
      <b/>
      <sz val="9"/>
      <name val="Arial"/>
      <family val="2"/>
    </font>
    <font>
      <sz val="11"/>
      <color theme="0"/>
      <name val="Arial"/>
      <family val="2"/>
    </font>
    <font>
      <sz val="12"/>
      <color rgb="FF00B050"/>
      <name val="Arial"/>
      <family val="2"/>
    </font>
    <font>
      <sz val="12"/>
      <name val="Arial"/>
      <family val="2"/>
    </font>
    <font>
      <vertAlign val="superscript"/>
      <sz val="10"/>
      <name val="Arial"/>
      <family val="2"/>
    </font>
    <font>
      <b/>
      <sz val="12"/>
      <name val="Arial"/>
      <family val="2"/>
    </font>
    <font>
      <b/>
      <sz val="14"/>
      <name val="Arial"/>
      <family val="2"/>
    </font>
    <font>
      <b/>
      <u/>
      <sz val="11"/>
      <name val="Arial"/>
      <family val="2"/>
    </font>
    <font>
      <sz val="9"/>
      <name val="Arial"/>
      <family val="2"/>
    </font>
    <font>
      <b/>
      <sz val="12"/>
      <color rgb="FFFF0000"/>
      <name val="Arial"/>
      <family val="2"/>
    </font>
    <font>
      <sz val="11"/>
      <color theme="1"/>
      <name val="Arial"/>
      <family val="2"/>
    </font>
    <font>
      <b/>
      <sz val="11"/>
      <color theme="1"/>
      <name val="Arial"/>
      <family val="2"/>
    </font>
    <font>
      <b/>
      <sz val="11"/>
      <color indexed="10"/>
      <name val="Arial"/>
      <family val="2"/>
    </font>
    <font>
      <sz val="11"/>
      <color indexed="9"/>
      <name val="Arial"/>
      <family val="2"/>
    </font>
    <font>
      <i/>
      <sz val="11"/>
      <color indexed="8"/>
      <name val="Arial"/>
      <family val="2"/>
    </font>
    <font>
      <u/>
      <sz val="10"/>
      <name val="Arial"/>
      <family val="2"/>
    </font>
    <font>
      <sz val="11"/>
      <color rgb="FFFF0000"/>
      <name val="Arial"/>
      <family val="2"/>
    </font>
    <font>
      <sz val="10"/>
      <color rgb="FFFF0000"/>
      <name val="Arial"/>
      <family val="2"/>
    </font>
    <font>
      <sz val="7"/>
      <name val="Arial"/>
      <family val="2"/>
    </font>
    <font>
      <sz val="10"/>
      <color rgb="FF00B050"/>
      <name val="Arial"/>
      <family val="2"/>
    </font>
    <font>
      <sz val="8"/>
      <name val="Arial"/>
      <family val="2"/>
    </font>
    <font>
      <sz val="10"/>
      <color rgb="FF00863D"/>
      <name val="Arial"/>
      <family val="2"/>
    </font>
    <font>
      <sz val="11"/>
      <name val="Calibri"/>
      <family val="2"/>
    </font>
    <font>
      <sz val="10"/>
      <color indexed="8"/>
      <name val="Arial"/>
      <family val="2"/>
    </font>
    <font>
      <b/>
      <sz val="10"/>
      <color indexed="8"/>
      <name val="Arial"/>
      <family val="2"/>
    </font>
    <font>
      <b/>
      <sz val="10"/>
      <color rgb="FFFF0000"/>
      <name val="Arial"/>
      <family val="2"/>
    </font>
    <font>
      <b/>
      <sz val="10"/>
      <color rgb="FF00B050"/>
      <name val="Arial"/>
      <family val="2"/>
    </font>
    <font>
      <sz val="10"/>
      <color rgb="FF92D050"/>
      <name val="Arial"/>
      <family val="2"/>
    </font>
    <font>
      <b/>
      <sz val="11"/>
      <name val="Calibri"/>
      <family val="2"/>
      <scheme val="minor"/>
    </font>
    <font>
      <b/>
      <sz val="11"/>
      <color rgb="FFFF0000"/>
      <name val="Calibri"/>
      <family val="2"/>
      <scheme val="minor"/>
    </font>
    <font>
      <b/>
      <sz val="11"/>
      <color rgb="FF92D050"/>
      <name val="Calibri"/>
      <family val="2"/>
      <scheme val="minor"/>
    </font>
    <font>
      <b/>
      <sz val="11"/>
      <name val="Calibri"/>
      <family val="2"/>
    </font>
    <font>
      <b/>
      <sz val="11"/>
      <color rgb="FFFF0000"/>
      <name val="Arial"/>
      <family val="2"/>
    </font>
    <font>
      <b/>
      <sz val="10"/>
      <color theme="1"/>
      <name val="Arial"/>
      <family val="2"/>
    </font>
    <font>
      <sz val="10"/>
      <color theme="0"/>
      <name val="Arial"/>
      <family val="2"/>
    </font>
    <font>
      <b/>
      <sz val="14"/>
      <color indexed="8"/>
      <name val="Calibri"/>
      <family val="2"/>
    </font>
    <font>
      <sz val="11"/>
      <color indexed="9"/>
      <name val="Calibri"/>
      <family val="2"/>
    </font>
    <font>
      <b/>
      <sz val="10"/>
      <name val="Tahoma"/>
      <family val="2"/>
    </font>
    <font>
      <sz val="10"/>
      <name val="Tahoma"/>
      <family val="2"/>
    </font>
    <font>
      <b/>
      <u/>
      <sz val="12"/>
      <color indexed="56"/>
      <name val="Cambria"/>
      <family val="1"/>
    </font>
    <font>
      <b/>
      <sz val="12"/>
      <color indexed="8"/>
      <name val="Garamond"/>
      <family val="1"/>
    </font>
    <font>
      <sz val="10"/>
      <name val="Times New Roman"/>
      <family val="1"/>
    </font>
    <font>
      <b/>
      <sz val="11"/>
      <color indexed="56"/>
      <name val="Cambria"/>
      <family val="1"/>
    </font>
    <font>
      <sz val="12"/>
      <color indexed="56"/>
      <name val="Cambria"/>
      <family val="1"/>
    </font>
    <font>
      <b/>
      <sz val="12"/>
      <color indexed="56"/>
      <name val="Cambria"/>
      <family val="1"/>
    </font>
    <font>
      <b/>
      <sz val="11"/>
      <color indexed="8"/>
      <name val="Calibri"/>
      <family val="2"/>
    </font>
    <font>
      <sz val="11"/>
      <color theme="0"/>
      <name val="Calibri"/>
      <family val="2"/>
    </font>
    <font>
      <b/>
      <sz val="11"/>
      <color theme="0"/>
      <name val="Calibri"/>
      <family val="2"/>
    </font>
    <font>
      <sz val="11"/>
      <name val="Calibri"/>
      <family val="2"/>
      <scheme val="minor"/>
    </font>
    <font>
      <b/>
      <sz val="12"/>
      <color indexed="8"/>
      <name val="Calibri"/>
      <family val="2"/>
    </font>
    <font>
      <b/>
      <sz val="12"/>
      <name val="Cambria"/>
      <family val="1"/>
    </font>
    <font>
      <sz val="11"/>
      <name val="Cambria"/>
      <family val="1"/>
    </font>
    <font>
      <b/>
      <sz val="11"/>
      <name val="Cambria"/>
      <family val="1"/>
    </font>
    <font>
      <b/>
      <sz val="10"/>
      <color theme="0"/>
      <name val="Arial"/>
      <family val="2"/>
    </font>
    <font>
      <b/>
      <sz val="11"/>
      <color theme="0"/>
      <name val="Arial"/>
      <family val="2"/>
    </font>
    <font>
      <b/>
      <sz val="12"/>
      <color theme="0"/>
      <name val="Cambria"/>
      <family val="1"/>
    </font>
    <font>
      <sz val="11"/>
      <color rgb="FFFF0000"/>
      <name val="Calibri"/>
      <family val="2"/>
    </font>
    <font>
      <b/>
      <u/>
      <sz val="12"/>
      <name val="Arial"/>
      <family val="2"/>
    </font>
    <font>
      <sz val="12"/>
      <color theme="0"/>
      <name val="Arial"/>
      <family val="2"/>
    </font>
    <font>
      <b/>
      <sz val="12"/>
      <name val="Calibri"/>
      <family val="2"/>
    </font>
    <font>
      <sz val="12"/>
      <name val="Calibri"/>
      <family val="2"/>
    </font>
    <font>
      <sz val="12"/>
      <color indexed="8"/>
      <name val="Calibri"/>
      <family val="2"/>
    </font>
    <font>
      <b/>
      <sz val="11"/>
      <color rgb="FF000000"/>
      <name val="Times New Roman"/>
      <family val="1"/>
    </font>
    <font>
      <b/>
      <sz val="14"/>
      <color theme="1"/>
      <name val="Calibri"/>
      <family val="2"/>
      <scheme val="minor"/>
    </font>
    <font>
      <sz val="14"/>
      <color theme="1"/>
      <name val="Calibri"/>
      <family val="2"/>
      <scheme val="minor"/>
    </font>
    <font>
      <b/>
      <sz val="14"/>
      <name val="Calibri"/>
      <family val="2"/>
      <scheme val="minor"/>
    </font>
    <font>
      <sz val="14"/>
      <name val="Arial"/>
      <family val="2"/>
    </font>
    <font>
      <sz val="14"/>
      <name val="Calibri"/>
      <family val="2"/>
      <scheme val="minor"/>
    </font>
    <font>
      <u/>
      <sz val="11"/>
      <name val="Times New Roman"/>
      <family val="1"/>
    </font>
  </fonts>
  <fills count="21">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3" tint="0.39997558519241921"/>
        <bgColor indexed="64"/>
      </patternFill>
    </fill>
    <fill>
      <patternFill patternType="solid">
        <fgColor indexed="9"/>
        <bgColor indexed="64"/>
      </patternFill>
    </fill>
    <fill>
      <patternFill patternType="solid">
        <fgColor theme="9" tint="-0.249977111117893"/>
        <bgColor indexed="64"/>
      </patternFill>
    </fill>
    <fill>
      <patternFill patternType="solid">
        <fgColor indexed="13"/>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theme="2" tint="-0.49998474074526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CC66FF"/>
        <bgColor indexed="64"/>
      </patternFill>
    </fill>
    <fill>
      <patternFill patternType="solid">
        <fgColor rgb="FF00863D"/>
        <bgColor indexed="64"/>
      </patternFill>
    </fill>
    <fill>
      <patternFill patternType="solid">
        <fgColor rgb="FF00B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s>
  <cellStyleXfs count="43">
    <xf numFmtId="170" fontId="0" fillId="0" borderId="0"/>
    <xf numFmtId="167" fontId="3" fillId="0" borderId="0" applyFont="0" applyFill="0" applyBorder="0" applyAlignment="0" applyProtection="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4" fillId="0" borderId="0"/>
    <xf numFmtId="0" fontId="5" fillId="0" borderId="0"/>
    <xf numFmtId="170" fontId="4" fillId="0" borderId="0"/>
    <xf numFmtId="0" fontId="9" fillId="0" borderId="0"/>
    <xf numFmtId="9" fontId="3" fillId="0" borderId="0" applyFont="0" applyFill="0" applyBorder="0" applyAlignment="0" applyProtection="0"/>
    <xf numFmtId="170" fontId="16" fillId="0" borderId="0" applyNumberFormat="0" applyFill="0" applyBorder="0" applyAlignment="0" applyProtection="0"/>
    <xf numFmtId="179" fontId="21" fillId="0" borderId="0" applyFont="0" applyFill="0" applyBorder="0" applyAlignment="0" applyProtection="0"/>
    <xf numFmtId="0" fontId="2" fillId="0" borderId="0"/>
    <xf numFmtId="179" fontId="21" fillId="0" borderId="0" applyFont="0" applyFill="0" applyBorder="0" applyAlignment="0" applyProtection="0"/>
    <xf numFmtId="0" fontId="21"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207" fontId="21" fillId="0" borderId="0" applyFont="0" applyFill="0" applyBorder="0" applyAlignment="0" applyProtection="0"/>
    <xf numFmtId="207" fontId="21" fillId="0" borderId="0" applyFont="0" applyFill="0" applyBorder="0" applyAlignment="0" applyProtection="0"/>
    <xf numFmtId="0" fontId="2" fillId="0" borderId="0"/>
    <xf numFmtId="179" fontId="21" fillId="0" borderId="0" applyFont="0" applyFill="0" applyBorder="0" applyAlignment="0" applyProtection="0"/>
    <xf numFmtId="0" fontId="21" fillId="0" borderId="0"/>
    <xf numFmtId="0" fontId="2" fillId="0" borderId="0"/>
    <xf numFmtId="43" fontId="3" fillId="0" borderId="0" applyFont="0" applyFill="0" applyBorder="0" applyAlignment="0" applyProtection="0"/>
    <xf numFmtId="0" fontId="2" fillId="0" borderId="0"/>
    <xf numFmtId="0" fontId="2" fillId="0" borderId="0"/>
    <xf numFmtId="180" fontId="3" fillId="0" borderId="0" applyFont="0" applyFill="0" applyBorder="0" applyAlignment="0" applyProtection="0"/>
    <xf numFmtId="180" fontId="21" fillId="0" borderId="0" applyFont="0" applyFill="0" applyBorder="0" applyAlignment="0" applyProtection="0"/>
    <xf numFmtId="0" fontId="2" fillId="0" borderId="0"/>
    <xf numFmtId="43" fontId="3" fillId="0" borderId="0" applyFont="0" applyFill="0" applyBorder="0" applyAlignment="0" applyProtection="0"/>
    <xf numFmtId="0" fontId="2" fillId="0" borderId="0"/>
    <xf numFmtId="0" fontId="2" fillId="0" borderId="0"/>
    <xf numFmtId="0" fontId="2" fillId="0" borderId="0"/>
    <xf numFmtId="180" fontId="21" fillId="0" borderId="0" applyFont="0" applyFill="0" applyBorder="0" applyAlignment="0" applyProtection="0"/>
    <xf numFmtId="9" fontId="21" fillId="0" borderId="0" applyFont="0" applyFill="0" applyBorder="0" applyAlignment="0" applyProtection="0"/>
    <xf numFmtId="170" fontId="3" fillId="0" borderId="0"/>
    <xf numFmtId="0" fontId="1" fillId="0" borderId="0"/>
  </cellStyleXfs>
  <cellXfs count="2068">
    <xf numFmtId="170" fontId="0" fillId="0" borderId="0" xfId="0"/>
    <xf numFmtId="0" fontId="7" fillId="0" borderId="0" xfId="5" applyFont="1" applyBorder="1" applyAlignment="1">
      <alignment horizontal="center" vertical="center"/>
    </xf>
    <xf numFmtId="0" fontId="7" fillId="0" borderId="0" xfId="5" applyFont="1" applyBorder="1" applyAlignment="1">
      <alignment horizontal="center"/>
    </xf>
    <xf numFmtId="170" fontId="8" fillId="0" borderId="0" xfId="0" applyFont="1" applyFill="1" applyAlignment="1">
      <alignment vertical="center"/>
    </xf>
    <xf numFmtId="170" fontId="8" fillId="0" borderId="0" xfId="0" applyFont="1" applyFill="1" applyAlignment="1">
      <alignment horizontal="center" vertical="center"/>
    </xf>
    <xf numFmtId="170" fontId="7" fillId="0" borderId="0" xfId="0" applyFont="1" applyFill="1" applyBorder="1" applyAlignment="1">
      <alignment horizontal="center" vertical="center"/>
    </xf>
    <xf numFmtId="170" fontId="7" fillId="2" borderId="1" xfId="0" applyFont="1" applyFill="1" applyBorder="1" applyAlignment="1">
      <alignment horizontal="center" vertical="center" wrapText="1"/>
    </xf>
    <xf numFmtId="170" fontId="7" fillId="0" borderId="0" xfId="0" applyFont="1" applyFill="1" applyBorder="1" applyAlignment="1">
      <alignment vertical="center" wrapText="1"/>
    </xf>
    <xf numFmtId="170" fontId="7" fillId="0" borderId="1" xfId="0" applyFont="1" applyFill="1" applyBorder="1" applyAlignment="1">
      <alignment horizontal="center" vertical="center"/>
    </xf>
    <xf numFmtId="170" fontId="7" fillId="0" borderId="1" xfId="0" applyFont="1" applyFill="1" applyBorder="1" applyAlignment="1">
      <alignment vertical="center"/>
    </xf>
    <xf numFmtId="170" fontId="8" fillId="0" borderId="1" xfId="0" applyFont="1" applyFill="1" applyBorder="1" applyAlignment="1">
      <alignment vertical="center"/>
    </xf>
    <xf numFmtId="170" fontId="8" fillId="0" borderId="1" xfId="0" applyFont="1" applyFill="1" applyBorder="1" applyAlignment="1">
      <alignment horizontal="center" vertical="center"/>
    </xf>
    <xf numFmtId="172" fontId="8" fillId="0" borderId="1" xfId="0" applyNumberFormat="1" applyFont="1" applyFill="1" applyBorder="1" applyAlignment="1">
      <alignment vertical="center"/>
    </xf>
    <xf numFmtId="172" fontId="8" fillId="0" borderId="0" xfId="0" applyNumberFormat="1" applyFont="1" applyFill="1" applyBorder="1" applyAlignment="1">
      <alignment vertical="center"/>
    </xf>
    <xf numFmtId="38" fontId="8" fillId="0" borderId="1" xfId="0" applyNumberFormat="1" applyFont="1" applyFill="1" applyBorder="1" applyAlignment="1">
      <alignment vertical="center"/>
    </xf>
    <xf numFmtId="38" fontId="8" fillId="0" borderId="0" xfId="0" applyNumberFormat="1" applyFont="1" applyFill="1" applyBorder="1" applyAlignment="1">
      <alignment vertical="center"/>
    </xf>
    <xf numFmtId="170" fontId="8" fillId="0" borderId="1" xfId="0" applyNumberFormat="1" applyFont="1" applyFill="1" applyBorder="1" applyAlignment="1">
      <alignment horizontal="center" vertical="center"/>
    </xf>
    <xf numFmtId="170" fontId="8" fillId="0" borderId="1" xfId="0" applyFont="1" applyFill="1" applyBorder="1" applyAlignment="1">
      <alignment horizontal="right" vertical="center"/>
    </xf>
    <xf numFmtId="38" fontId="7" fillId="0" borderId="1" xfId="0" applyNumberFormat="1" applyFont="1" applyFill="1" applyBorder="1" applyAlignment="1">
      <alignment vertical="center"/>
    </xf>
    <xf numFmtId="38" fontId="7" fillId="0" borderId="0" xfId="0" applyNumberFormat="1" applyFont="1" applyFill="1" applyBorder="1" applyAlignment="1">
      <alignment vertical="center"/>
    </xf>
    <xf numFmtId="170" fontId="8" fillId="0" borderId="1" xfId="0" applyNumberFormat="1" applyFont="1" applyFill="1" applyBorder="1" applyAlignment="1">
      <alignment vertical="center"/>
    </xf>
    <xf numFmtId="38" fontId="8" fillId="0" borderId="0" xfId="0" applyNumberFormat="1" applyFont="1" applyFill="1" applyAlignment="1">
      <alignment vertical="center"/>
    </xf>
    <xf numFmtId="171" fontId="8" fillId="0" borderId="1" xfId="0" applyNumberFormat="1" applyFont="1" applyFill="1" applyBorder="1" applyAlignment="1">
      <alignment horizontal="center" vertical="center"/>
    </xf>
    <xf numFmtId="174" fontId="8" fillId="0" borderId="0" xfId="0" applyNumberFormat="1" applyFont="1" applyFill="1" applyAlignment="1">
      <alignment vertical="center"/>
    </xf>
    <xf numFmtId="170" fontId="7" fillId="0" borderId="1" xfId="0" applyFont="1" applyFill="1" applyBorder="1" applyAlignment="1">
      <alignment horizontal="right" vertical="center"/>
    </xf>
    <xf numFmtId="174" fontId="8" fillId="0" borderId="0" xfId="0" applyNumberFormat="1" applyFont="1" applyFill="1" applyBorder="1" applyAlignment="1">
      <alignment vertical="center"/>
    </xf>
    <xf numFmtId="170" fontId="7" fillId="0" borderId="0" xfId="0" applyFont="1" applyFill="1" applyBorder="1" applyAlignment="1">
      <alignment vertical="center"/>
    </xf>
    <xf numFmtId="170" fontId="8" fillId="0" borderId="0" xfId="0" applyFont="1" applyFill="1" applyBorder="1" applyAlignment="1">
      <alignment vertical="center"/>
    </xf>
    <xf numFmtId="38" fontId="8" fillId="3" borderId="0" xfId="0" applyNumberFormat="1" applyFont="1" applyFill="1" applyBorder="1" applyAlignment="1">
      <alignment vertical="center"/>
    </xf>
    <xf numFmtId="173" fontId="8" fillId="0" borderId="0" xfId="0" applyNumberFormat="1" applyFont="1" applyFill="1" applyBorder="1" applyAlignment="1">
      <alignment vertical="center"/>
    </xf>
    <xf numFmtId="170" fontId="8" fillId="0" borderId="0" xfId="0" applyFont="1" applyFill="1" applyBorder="1" applyAlignment="1">
      <alignment horizontal="center" vertical="center"/>
    </xf>
    <xf numFmtId="0" fontId="7" fillId="0" borderId="1" xfId="5" applyFont="1" applyFill="1" applyBorder="1" applyAlignment="1">
      <alignment horizontal="center" vertical="center" wrapText="1"/>
    </xf>
    <xf numFmtId="170" fontId="7" fillId="0" borderId="1" xfId="0" applyFont="1" applyBorder="1" applyAlignment="1">
      <alignment horizontal="center" vertical="center" wrapText="1"/>
    </xf>
    <xf numFmtId="0" fontId="8" fillId="0" borderId="1" xfId="5" applyFont="1" applyFill="1" applyBorder="1" applyAlignment="1">
      <alignment horizontal="left" vertical="center"/>
    </xf>
    <xf numFmtId="0" fontId="8" fillId="0" borderId="1" xfId="5" applyFont="1" applyFill="1" applyBorder="1" applyAlignment="1">
      <alignment horizontal="center" vertical="center" wrapText="1"/>
    </xf>
    <xf numFmtId="174" fontId="8" fillId="0" borderId="1" xfId="5" applyNumberFormat="1" applyFont="1" applyFill="1" applyBorder="1" applyAlignment="1">
      <alignment vertical="center"/>
    </xf>
    <xf numFmtId="0" fontId="7" fillId="0" borderId="1" xfId="5" applyFont="1" applyFill="1" applyBorder="1" applyAlignment="1">
      <alignment horizontal="left" vertical="center"/>
    </xf>
    <xf numFmtId="170" fontId="7" fillId="0" borderId="1" xfId="0" applyFont="1" applyFill="1" applyBorder="1" applyAlignment="1">
      <alignment horizontal="center" vertical="center" wrapText="1"/>
    </xf>
    <xf numFmtId="0" fontId="8" fillId="0" borderId="1" xfId="5" applyFont="1" applyFill="1" applyBorder="1" applyAlignment="1">
      <alignment horizontal="center" vertical="center"/>
    </xf>
    <xf numFmtId="174" fontId="8" fillId="0" borderId="1" xfId="5" applyNumberFormat="1" applyFont="1" applyFill="1" applyBorder="1" applyAlignment="1">
      <alignment vertical="center" wrapText="1"/>
    </xf>
    <xf numFmtId="0" fontId="8" fillId="0" borderId="1" xfId="5" applyFont="1" applyFill="1" applyBorder="1" applyAlignment="1">
      <alignment horizontal="left" vertical="center" wrapText="1"/>
    </xf>
    <xf numFmtId="40" fontId="7" fillId="0" borderId="1" xfId="0" applyNumberFormat="1" applyFont="1" applyBorder="1" applyAlignment="1">
      <alignment horizontal="right" vertical="center"/>
    </xf>
    <xf numFmtId="40" fontId="8" fillId="0" borderId="1" xfId="0" applyNumberFormat="1" applyFont="1" applyFill="1" applyBorder="1" applyAlignment="1">
      <alignment vertical="center"/>
    </xf>
    <xf numFmtId="0" fontId="7" fillId="2" borderId="1" xfId="5" applyFont="1" applyFill="1" applyBorder="1" applyAlignment="1">
      <alignment horizontal="center" vertical="center" wrapText="1"/>
    </xf>
    <xf numFmtId="172" fontId="7" fillId="0" borderId="0" xfId="0" applyNumberFormat="1" applyFont="1" applyFill="1" applyBorder="1" applyAlignment="1">
      <alignment horizontal="right" vertical="center"/>
    </xf>
    <xf numFmtId="170" fontId="7" fillId="0" borderId="0" xfId="0" applyFont="1" applyFill="1" applyBorder="1" applyAlignment="1">
      <alignment horizontal="right" vertical="center"/>
    </xf>
    <xf numFmtId="37" fontId="8" fillId="0" borderId="1" xfId="0" applyNumberFormat="1" applyFont="1" applyFill="1" applyBorder="1" applyAlignment="1">
      <alignment vertical="center"/>
    </xf>
    <xf numFmtId="170" fontId="8" fillId="0" borderId="0" xfId="0" applyNumberFormat="1" applyFont="1" applyFill="1" applyBorder="1" applyAlignment="1">
      <alignment horizontal="center" vertical="center"/>
    </xf>
    <xf numFmtId="170" fontId="7" fillId="0" borderId="1" xfId="0" applyFont="1" applyFill="1" applyBorder="1" applyAlignment="1">
      <alignment vertical="center" wrapText="1"/>
    </xf>
    <xf numFmtId="37" fontId="7" fillId="0" borderId="1" xfId="0" applyNumberFormat="1" applyFont="1" applyFill="1" applyBorder="1" applyAlignment="1">
      <alignment vertical="center"/>
    </xf>
    <xf numFmtId="170" fontId="7" fillId="0" borderId="0" xfId="0" applyNumberFormat="1" applyFont="1" applyFill="1" applyBorder="1" applyAlignment="1">
      <alignment vertical="center"/>
    </xf>
    <xf numFmtId="170" fontId="7" fillId="0" borderId="0" xfId="0" applyFont="1" applyFill="1" applyAlignment="1">
      <alignment vertical="center"/>
    </xf>
    <xf numFmtId="170" fontId="7" fillId="0" borderId="0" xfId="0" applyNumberFormat="1" applyFont="1" applyFill="1" applyBorder="1" applyAlignment="1">
      <alignment horizontal="center" vertical="center"/>
    </xf>
    <xf numFmtId="170" fontId="7" fillId="2" borderId="1" xfId="0" applyFont="1" applyFill="1" applyBorder="1" applyAlignment="1">
      <alignment horizontal="center" vertical="center"/>
    </xf>
    <xf numFmtId="170" fontId="8" fillId="0" borderId="1" xfId="0" applyFont="1" applyFill="1" applyBorder="1" applyAlignment="1">
      <alignment horizontal="center" vertical="center" wrapText="1"/>
    </xf>
    <xf numFmtId="170" fontId="8" fillId="0" borderId="1" xfId="0" applyFont="1" applyFill="1" applyBorder="1" applyAlignment="1">
      <alignment horizontal="left" vertical="center"/>
    </xf>
    <xf numFmtId="170" fontId="8" fillId="0" borderId="1" xfId="0" applyFont="1" applyFill="1" applyBorder="1" applyAlignment="1">
      <alignment vertical="center" wrapText="1"/>
    </xf>
    <xf numFmtId="170" fontId="8" fillId="0" borderId="1" xfId="0" applyFont="1" applyFill="1" applyBorder="1" applyAlignment="1">
      <alignment horizontal="center" vertical="top"/>
    </xf>
    <xf numFmtId="3" fontId="8" fillId="0" borderId="1" xfId="0" applyNumberFormat="1" applyFont="1" applyFill="1" applyBorder="1" applyAlignment="1">
      <alignment horizontal="right"/>
    </xf>
    <xf numFmtId="168" fontId="8" fillId="0" borderId="1" xfId="0" applyNumberFormat="1" applyFont="1" applyFill="1" applyBorder="1" applyAlignment="1">
      <alignment horizontal="center" vertical="center"/>
    </xf>
    <xf numFmtId="168" fontId="8" fillId="0" borderId="1" xfId="0" applyNumberFormat="1" applyFont="1" applyFill="1" applyBorder="1" applyAlignment="1">
      <alignment vertical="center"/>
    </xf>
    <xf numFmtId="170" fontId="7" fillId="0" borderId="0" xfId="0" applyFont="1" applyFill="1" applyBorder="1" applyAlignment="1">
      <alignment horizontal="left" vertical="center"/>
    </xf>
    <xf numFmtId="3" fontId="8" fillId="0" borderId="0" xfId="0" applyNumberFormat="1" applyFont="1" applyFill="1" applyBorder="1"/>
    <xf numFmtId="164" fontId="7" fillId="0" borderId="0" xfId="1" applyNumberFormat="1" applyFont="1" applyFill="1" applyBorder="1" applyAlignment="1">
      <alignment vertical="center"/>
    </xf>
    <xf numFmtId="170" fontId="8" fillId="3" borderId="0" xfId="0" applyFont="1" applyFill="1" applyBorder="1" applyAlignment="1">
      <alignment vertical="center"/>
    </xf>
    <xf numFmtId="170" fontId="7" fillId="2" borderId="1" xfId="0" quotePrefix="1" applyFont="1" applyFill="1" applyBorder="1" applyAlignment="1">
      <alignment horizontal="center" vertical="center" wrapText="1"/>
    </xf>
    <xf numFmtId="168" fontId="7" fillId="0" borderId="1" xfId="0" applyNumberFormat="1" applyFont="1" applyFill="1" applyBorder="1" applyAlignment="1">
      <alignment horizontal="center" vertical="center"/>
    </xf>
    <xf numFmtId="3" fontId="7" fillId="0" borderId="1" xfId="0" applyNumberFormat="1" applyFont="1" applyFill="1" applyBorder="1"/>
    <xf numFmtId="3" fontId="8" fillId="0" borderId="1" xfId="0" applyNumberFormat="1" applyFont="1" applyFill="1" applyBorder="1"/>
    <xf numFmtId="168" fontId="8" fillId="0" borderId="1" xfId="0" applyNumberFormat="1" applyFont="1" applyFill="1" applyBorder="1" applyAlignment="1">
      <alignment horizontal="center" vertical="center" wrapText="1"/>
    </xf>
    <xf numFmtId="169" fontId="8" fillId="0" borderId="1" xfId="0" applyNumberFormat="1" applyFont="1" applyFill="1" applyBorder="1" applyAlignment="1">
      <alignment horizontal="center" vertical="center"/>
    </xf>
    <xf numFmtId="170" fontId="7" fillId="0" borderId="0" xfId="0" applyFont="1" applyBorder="1" applyAlignment="1">
      <alignment horizontal="center" vertical="center"/>
    </xf>
    <xf numFmtId="170" fontId="8" fillId="0" borderId="0" xfId="0" applyFont="1" applyBorder="1" applyAlignment="1">
      <alignment vertical="center"/>
    </xf>
    <xf numFmtId="170" fontId="7" fillId="0" borderId="0" xfId="0" applyFont="1" applyBorder="1" applyAlignment="1">
      <alignment horizontal="left" vertical="center"/>
    </xf>
    <xf numFmtId="170" fontId="7" fillId="0" borderId="0" xfId="0" applyFont="1" applyBorder="1" applyAlignment="1">
      <alignment horizontal="left"/>
    </xf>
    <xf numFmtId="170" fontId="8" fillId="0" borderId="0" xfId="0" applyFont="1" applyBorder="1" applyAlignment="1">
      <alignment vertical="center" wrapText="1"/>
    </xf>
    <xf numFmtId="170" fontId="7" fillId="0" borderId="0" xfId="0" applyNumberFormat="1" applyFont="1" applyBorder="1" applyAlignment="1">
      <alignment vertical="center"/>
    </xf>
    <xf numFmtId="170" fontId="8" fillId="0" borderId="0" xfId="0" applyFont="1" applyBorder="1" applyAlignment="1">
      <alignment horizontal="center" vertical="center"/>
    </xf>
    <xf numFmtId="170" fontId="7" fillId="0" borderId="1" xfId="0" applyFont="1" applyBorder="1" applyAlignment="1">
      <alignment horizontal="center" vertical="center"/>
    </xf>
    <xf numFmtId="170" fontId="7" fillId="0" borderId="1" xfId="0" applyFont="1" applyBorder="1" applyAlignment="1">
      <alignment vertical="center" wrapText="1"/>
    </xf>
    <xf numFmtId="169" fontId="8" fillId="0" borderId="1" xfId="0" applyNumberFormat="1" applyFont="1" applyBorder="1" applyAlignment="1">
      <alignment horizontal="center" vertical="center"/>
    </xf>
    <xf numFmtId="3" fontId="8" fillId="0" borderId="1" xfId="0" applyNumberFormat="1" applyFont="1" applyFill="1" applyBorder="1" applyAlignment="1">
      <alignment vertical="center"/>
    </xf>
    <xf numFmtId="170" fontId="8" fillId="0" borderId="1" xfId="0" applyFont="1" applyBorder="1" applyAlignment="1">
      <alignment vertical="center"/>
    </xf>
    <xf numFmtId="14" fontId="8" fillId="0" borderId="1" xfId="0" applyNumberFormat="1" applyFont="1" applyBorder="1" applyAlignment="1">
      <alignment horizontal="center" vertical="center" wrapText="1"/>
    </xf>
    <xf numFmtId="170" fontId="8" fillId="0" borderId="1" xfId="0" applyFont="1" applyBorder="1" applyAlignment="1">
      <alignment horizontal="center" vertical="top"/>
    </xf>
    <xf numFmtId="170" fontId="8" fillId="0" borderId="1" xfId="0" applyFont="1" applyBorder="1" applyAlignment="1">
      <alignment vertical="center" wrapText="1"/>
    </xf>
    <xf numFmtId="170" fontId="8" fillId="0" borderId="1" xfId="0" applyFont="1" applyBorder="1" applyAlignment="1">
      <alignment horizontal="center" vertical="center"/>
    </xf>
    <xf numFmtId="170" fontId="7" fillId="0" borderId="1" xfId="0" applyFont="1" applyBorder="1" applyAlignment="1">
      <alignment horizontal="right" vertical="center" wrapText="1"/>
    </xf>
    <xf numFmtId="170" fontId="7" fillId="0" borderId="1" xfId="0" applyFont="1" applyBorder="1" applyAlignment="1">
      <alignment vertical="center"/>
    </xf>
    <xf numFmtId="170" fontId="7" fillId="0" borderId="1" xfId="0" applyFont="1" applyBorder="1" applyAlignment="1">
      <alignment horizontal="left" vertical="center"/>
    </xf>
    <xf numFmtId="170" fontId="8" fillId="0" borderId="1" xfId="0" applyFont="1" applyBorder="1" applyAlignment="1">
      <alignment horizontal="right" vertical="center"/>
    </xf>
    <xf numFmtId="170" fontId="7" fillId="0" borderId="0" xfId="0" applyFont="1" applyBorder="1" applyAlignment="1">
      <alignment vertical="top"/>
    </xf>
    <xf numFmtId="3" fontId="10" fillId="0" borderId="0" xfId="0" applyNumberFormat="1" applyFont="1" applyFill="1" applyBorder="1" applyAlignment="1">
      <alignment vertical="center"/>
    </xf>
    <xf numFmtId="170" fontId="7" fillId="0" borderId="0" xfId="0" applyFont="1" applyBorder="1" applyAlignment="1">
      <alignment vertical="center"/>
    </xf>
    <xf numFmtId="170" fontId="7" fillId="0" borderId="0" xfId="0" applyFont="1" applyBorder="1" applyAlignment="1">
      <alignment horizontal="left" vertical="top"/>
    </xf>
    <xf numFmtId="170" fontId="8" fillId="0" borderId="0" xfId="0" applyFont="1" applyBorder="1" applyAlignment="1">
      <alignment vertical="top"/>
    </xf>
    <xf numFmtId="166" fontId="8" fillId="0" borderId="1" xfId="0" applyNumberFormat="1" applyFont="1" applyBorder="1" applyAlignment="1">
      <alignment horizontal="center" vertical="top" wrapText="1"/>
    </xf>
    <xf numFmtId="1" fontId="11" fillId="0" borderId="1" xfId="0" applyNumberFormat="1" applyFont="1" applyBorder="1" applyAlignment="1">
      <alignment horizontal="center" vertical="center"/>
    </xf>
    <xf numFmtId="38" fontId="11" fillId="0" borderId="1" xfId="0" applyNumberFormat="1" applyFont="1" applyFill="1" applyBorder="1" applyAlignment="1">
      <alignment vertical="center"/>
    </xf>
    <xf numFmtId="165" fontId="8" fillId="0" borderId="1" xfId="0" applyNumberFormat="1" applyFont="1" applyBorder="1" applyAlignment="1">
      <alignment horizontal="center" vertical="center"/>
    </xf>
    <xf numFmtId="170" fontId="7" fillId="0" borderId="1" xfId="0" applyFont="1" applyBorder="1" applyAlignment="1">
      <alignment horizontal="right" vertical="center"/>
    </xf>
    <xf numFmtId="166" fontId="8" fillId="0" borderId="1" xfId="0" applyNumberFormat="1" applyFont="1" applyBorder="1" applyAlignment="1">
      <alignment vertical="center"/>
    </xf>
    <xf numFmtId="170" fontId="7" fillId="0" borderId="0" xfId="0" applyFont="1" applyBorder="1" applyAlignment="1">
      <alignment vertical="top" wrapText="1"/>
    </xf>
    <xf numFmtId="38" fontId="8" fillId="0" borderId="2" xfId="0" applyNumberFormat="1" applyFont="1" applyFill="1" applyBorder="1" applyAlignment="1">
      <alignment vertical="center"/>
    </xf>
    <xf numFmtId="38" fontId="8" fillId="0" borderId="3" xfId="0" applyNumberFormat="1" applyFont="1" applyFill="1" applyBorder="1" applyAlignment="1">
      <alignment vertical="center"/>
    </xf>
    <xf numFmtId="170" fontId="7" fillId="0" borderId="0" xfId="0" applyFont="1" applyBorder="1" applyAlignment="1">
      <alignment horizontal="center" vertical="top"/>
    </xf>
    <xf numFmtId="1" fontId="7"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6" fontId="8" fillId="0" borderId="0" xfId="0" applyNumberFormat="1" applyFont="1" applyBorder="1" applyAlignment="1">
      <alignment vertical="center"/>
    </xf>
    <xf numFmtId="1" fontId="8" fillId="0" borderId="0" xfId="0" applyNumberFormat="1" applyFont="1" applyBorder="1" applyAlignment="1">
      <alignment vertical="center"/>
    </xf>
    <xf numFmtId="165" fontId="8" fillId="0" borderId="0" xfId="0" applyNumberFormat="1" applyFont="1" applyBorder="1" applyAlignment="1">
      <alignment horizontal="center" vertical="center"/>
    </xf>
    <xf numFmtId="1" fontId="8" fillId="0" borderId="0" xfId="0" applyNumberFormat="1" applyFont="1" applyBorder="1" applyAlignment="1">
      <alignment horizontal="center" vertical="center"/>
    </xf>
    <xf numFmtId="166" fontId="8" fillId="0" borderId="0" xfId="0" applyNumberFormat="1" applyFont="1" applyBorder="1" applyAlignment="1">
      <alignment horizontal="center" vertical="center"/>
    </xf>
    <xf numFmtId="1" fontId="8" fillId="0" borderId="1" xfId="0" applyNumberFormat="1" applyFont="1" applyBorder="1" applyAlignment="1">
      <alignment horizontal="center" vertical="top"/>
    </xf>
    <xf numFmtId="170" fontId="8" fillId="0" borderId="1" xfId="0" applyFont="1" applyBorder="1" applyAlignment="1">
      <alignment horizontal="justify" vertical="top" wrapText="1"/>
    </xf>
    <xf numFmtId="38" fontId="8" fillId="0" borderId="1" xfId="0" applyNumberFormat="1" applyFont="1" applyFill="1" applyBorder="1" applyAlignment="1">
      <alignment vertical="top"/>
    </xf>
    <xf numFmtId="14" fontId="8" fillId="0" borderId="1" xfId="0" applyNumberFormat="1" applyFont="1" applyBorder="1" applyAlignment="1">
      <alignment horizontal="center" vertical="top" wrapText="1"/>
    </xf>
    <xf numFmtId="166" fontId="8" fillId="0" borderId="1" xfId="0" applyNumberFormat="1" applyFont="1" applyBorder="1" applyAlignment="1">
      <alignment horizontal="center" vertical="top"/>
    </xf>
    <xf numFmtId="1" fontId="8" fillId="0" borderId="1" xfId="0" applyNumberFormat="1" applyFont="1" applyBorder="1" applyAlignment="1">
      <alignment horizontal="center" vertical="center"/>
    </xf>
    <xf numFmtId="3" fontId="8" fillId="0" borderId="0" xfId="1" applyNumberFormat="1" applyFont="1" applyBorder="1" applyAlignment="1">
      <alignment vertical="center"/>
    </xf>
    <xf numFmtId="3" fontId="8" fillId="0" borderId="0" xfId="0" applyNumberFormat="1" applyFont="1" applyBorder="1" applyAlignment="1">
      <alignment vertical="center"/>
    </xf>
    <xf numFmtId="1" fontId="8" fillId="0" borderId="1" xfId="0" applyNumberFormat="1" applyFont="1" applyBorder="1" applyAlignment="1">
      <alignment horizontal="center" vertical="center" wrapText="1"/>
    </xf>
    <xf numFmtId="38" fontId="8" fillId="0" borderId="4" xfId="0" applyNumberFormat="1" applyFont="1" applyFill="1" applyBorder="1" applyAlignment="1">
      <alignment vertical="center"/>
    </xf>
    <xf numFmtId="170" fontId="8" fillId="0" borderId="5" xfId="0" applyFont="1" applyBorder="1" applyAlignment="1">
      <alignment horizontal="center" vertical="center"/>
    </xf>
    <xf numFmtId="170" fontId="8" fillId="0" borderId="0" xfId="0" applyNumberFormat="1" applyFont="1" applyFill="1" applyBorder="1" applyAlignment="1">
      <alignment vertical="center"/>
    </xf>
    <xf numFmtId="170" fontId="8" fillId="0" borderId="0" xfId="0" applyNumberFormat="1" applyFont="1" applyFill="1" applyBorder="1" applyAlignment="1">
      <alignment horizontal="center" vertical="center" wrapText="1"/>
    </xf>
    <xf numFmtId="170" fontId="8" fillId="0" borderId="1" xfId="0" applyNumberFormat="1" applyFont="1" applyFill="1" applyBorder="1" applyAlignment="1">
      <alignment horizontal="left" vertical="center"/>
    </xf>
    <xf numFmtId="10" fontId="8" fillId="0" borderId="0" xfId="0" applyNumberFormat="1" applyFont="1" applyFill="1" applyBorder="1" applyAlignment="1">
      <alignment vertical="center"/>
    </xf>
    <xf numFmtId="170" fontId="7" fillId="2" borderId="1" xfId="0" applyNumberFormat="1" applyFont="1" applyFill="1" applyBorder="1" applyAlignment="1">
      <alignment horizontal="center" vertical="center" wrapText="1"/>
    </xf>
    <xf numFmtId="170" fontId="7" fillId="0" borderId="0" xfId="0" applyNumberFormat="1" applyFont="1" applyFill="1" applyBorder="1" applyAlignment="1">
      <alignment horizontal="right" vertical="center"/>
    </xf>
    <xf numFmtId="172" fontId="7" fillId="2" borderId="1" xfId="0" applyNumberFormat="1" applyFont="1" applyFill="1" applyBorder="1" applyAlignment="1">
      <alignment horizontal="center" vertical="center" wrapText="1"/>
    </xf>
    <xf numFmtId="0" fontId="8" fillId="0" borderId="1" xfId="9" applyNumberFormat="1" applyFont="1" applyFill="1" applyBorder="1" applyAlignment="1">
      <alignment horizontal="center" vertical="center"/>
    </xf>
    <xf numFmtId="170" fontId="12" fillId="3" borderId="0" xfId="0" applyFont="1" applyFill="1" applyBorder="1" applyAlignment="1">
      <alignment vertical="center"/>
    </xf>
    <xf numFmtId="170" fontId="8" fillId="3" borderId="0" xfId="0" applyFont="1" applyFill="1" applyBorder="1" applyAlignment="1">
      <alignment horizontal="left" vertical="center"/>
    </xf>
    <xf numFmtId="170" fontId="8" fillId="0" borderId="1" xfId="0" applyFont="1" applyFill="1" applyBorder="1" applyAlignment="1">
      <alignment vertical="top" wrapText="1"/>
    </xf>
    <xf numFmtId="170" fontId="8" fillId="0" borderId="1" xfId="0" applyFont="1" applyFill="1" applyBorder="1" applyAlignment="1">
      <alignment horizontal="center" vertical="top" wrapText="1"/>
    </xf>
    <xf numFmtId="170" fontId="8" fillId="0" borderId="0" xfId="0" applyNumberFormat="1" applyFont="1" applyBorder="1" applyAlignment="1">
      <alignment horizontal="right" vertical="center"/>
    </xf>
    <xf numFmtId="170" fontId="8" fillId="0" borderId="2" xfId="0" applyFont="1" applyBorder="1" applyAlignment="1">
      <alignment vertical="center"/>
    </xf>
    <xf numFmtId="170" fontId="8" fillId="0" borderId="0" xfId="0" applyNumberFormat="1" applyFont="1" applyBorder="1" applyAlignment="1">
      <alignment horizontal="center" vertical="center"/>
    </xf>
    <xf numFmtId="173" fontId="8" fillId="0" borderId="0" xfId="0" applyNumberFormat="1" applyFont="1" applyBorder="1" applyAlignment="1">
      <alignment horizontal="right" vertical="center"/>
    </xf>
    <xf numFmtId="171" fontId="8" fillId="0" borderId="1" xfId="0"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168" fontId="8" fillId="0" borderId="2" xfId="0" applyNumberFormat="1" applyFont="1" applyBorder="1" applyAlignment="1">
      <alignment horizontal="center" vertical="center"/>
    </xf>
    <xf numFmtId="170" fontId="8" fillId="0" borderId="2" xfId="0" applyFont="1" applyBorder="1" applyAlignment="1">
      <alignment horizontal="center" vertical="center"/>
    </xf>
    <xf numFmtId="170" fontId="7" fillId="0" borderId="2" xfId="0" applyFont="1" applyBorder="1" applyAlignment="1">
      <alignment horizontal="right" vertical="center"/>
    </xf>
    <xf numFmtId="170" fontId="7" fillId="0" borderId="2" xfId="0" applyFont="1" applyBorder="1" applyAlignment="1">
      <alignment horizontal="center" vertical="center"/>
    </xf>
    <xf numFmtId="38" fontId="7" fillId="0" borderId="2" xfId="0" applyNumberFormat="1" applyFont="1" applyFill="1" applyBorder="1" applyAlignment="1">
      <alignment vertical="center"/>
    </xf>
    <xf numFmtId="168" fontId="8" fillId="0" borderId="1" xfId="0" applyNumberFormat="1" applyFont="1" applyBorder="1" applyAlignment="1">
      <alignment horizontal="center" vertical="center"/>
    </xf>
    <xf numFmtId="170" fontId="7" fillId="0" borderId="2" xfId="0" applyFont="1" applyBorder="1" applyAlignment="1">
      <alignment vertical="center"/>
    </xf>
    <xf numFmtId="38" fontId="7" fillId="0" borderId="3" xfId="0" applyNumberFormat="1" applyFont="1" applyFill="1" applyBorder="1" applyAlignment="1">
      <alignment vertical="center"/>
    </xf>
    <xf numFmtId="170" fontId="8" fillId="0" borderId="5" xfId="0" applyFont="1" applyBorder="1" applyAlignment="1">
      <alignment horizontal="right" vertical="center"/>
    </xf>
    <xf numFmtId="38" fontId="7" fillId="0" borderId="6" xfId="0" applyNumberFormat="1" applyFont="1" applyFill="1" applyBorder="1" applyAlignment="1">
      <alignment vertical="center"/>
    </xf>
    <xf numFmtId="176" fontId="8" fillId="0" borderId="1" xfId="0" applyNumberFormat="1" applyFont="1" applyBorder="1" applyAlignment="1">
      <alignment horizontal="center" vertical="center"/>
    </xf>
    <xf numFmtId="173" fontId="8" fillId="0" borderId="1" xfId="0" applyNumberFormat="1" applyFont="1" applyBorder="1" applyAlignment="1">
      <alignment horizontal="center" vertical="center"/>
    </xf>
    <xf numFmtId="170" fontId="8" fillId="0" borderId="0" xfId="0" applyNumberFormat="1" applyFont="1" applyBorder="1" applyAlignment="1">
      <alignment vertical="center"/>
    </xf>
    <xf numFmtId="170" fontId="7" fillId="0" borderId="1" xfId="0" applyNumberFormat="1" applyFont="1" applyBorder="1" applyAlignment="1">
      <alignment horizontal="center" vertical="center"/>
    </xf>
    <xf numFmtId="170" fontId="7" fillId="0" borderId="1" xfId="0" applyNumberFormat="1" applyFont="1" applyBorder="1" applyAlignment="1">
      <alignment horizontal="left" vertical="center"/>
    </xf>
    <xf numFmtId="170" fontId="7" fillId="0" borderId="1" xfId="0" applyNumberFormat="1" applyFont="1" applyBorder="1" applyAlignment="1">
      <alignment horizontal="center" vertical="center" wrapText="1"/>
    </xf>
    <xf numFmtId="170" fontId="8" fillId="0" borderId="1" xfId="0" applyNumberFormat="1" applyFont="1" applyBorder="1" applyAlignment="1">
      <alignment horizontal="right" vertical="center"/>
    </xf>
    <xf numFmtId="170" fontId="8" fillId="0" borderId="1" xfId="0" applyNumberFormat="1" applyFont="1" applyBorder="1" applyAlignment="1">
      <alignment vertical="center"/>
    </xf>
    <xf numFmtId="170" fontId="8" fillId="0" borderId="1" xfId="0" applyNumberFormat="1" applyFont="1" applyBorder="1" applyAlignment="1">
      <alignment horizontal="center" vertical="center"/>
    </xf>
    <xf numFmtId="170" fontId="7" fillId="0" borderId="1" xfId="0" applyNumberFormat="1" applyFont="1" applyBorder="1" applyAlignment="1">
      <alignment horizontal="right" vertical="center"/>
    </xf>
    <xf numFmtId="171" fontId="7" fillId="0" borderId="1" xfId="0" applyNumberFormat="1" applyFont="1" applyBorder="1" applyAlignment="1">
      <alignment horizontal="center" vertical="center"/>
    </xf>
    <xf numFmtId="171" fontId="8" fillId="0" borderId="1" xfId="0" applyNumberFormat="1" applyFont="1" applyBorder="1" applyAlignment="1">
      <alignment horizontal="center" vertical="center"/>
    </xf>
    <xf numFmtId="170" fontId="8" fillId="3" borderId="0" xfId="0" applyNumberFormat="1" applyFont="1" applyFill="1" applyBorder="1" applyAlignment="1">
      <alignment vertical="center"/>
    </xf>
    <xf numFmtId="170" fontId="8" fillId="0" borderId="1" xfId="0" applyFont="1" applyBorder="1" applyAlignment="1">
      <alignment horizontal="right" vertical="center" wrapText="1"/>
    </xf>
    <xf numFmtId="170" fontId="8" fillId="0" borderId="1" xfId="0" applyFont="1" applyBorder="1" applyAlignment="1">
      <alignment horizontal="left" vertical="center" wrapText="1"/>
    </xf>
    <xf numFmtId="170" fontId="7" fillId="0" borderId="0" xfId="0" applyFont="1" applyBorder="1" applyAlignment="1">
      <alignment horizontal="right" vertical="center"/>
    </xf>
    <xf numFmtId="169" fontId="8" fillId="0" borderId="1" xfId="0" applyNumberFormat="1" applyFont="1" applyBorder="1" applyAlignment="1">
      <alignment horizontal="center" vertical="center" wrapText="1"/>
    </xf>
    <xf numFmtId="170" fontId="8" fillId="0" borderId="1" xfId="0" applyFont="1" applyBorder="1" applyAlignment="1">
      <alignment horizontal="left" vertical="center"/>
    </xf>
    <xf numFmtId="0" fontId="8" fillId="0" borderId="1" xfId="5" applyFont="1" applyFill="1" applyBorder="1" applyAlignment="1">
      <alignment vertical="center" wrapText="1"/>
    </xf>
    <xf numFmtId="166"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wrapText="1"/>
    </xf>
    <xf numFmtId="175" fontId="8" fillId="0" borderId="1" xfId="0" applyNumberFormat="1" applyFont="1" applyBorder="1" applyAlignment="1">
      <alignment vertical="center"/>
    </xf>
    <xf numFmtId="170" fontId="8" fillId="0" borderId="0" xfId="0" applyFont="1"/>
    <xf numFmtId="174" fontId="8" fillId="0" borderId="0" xfId="0" applyNumberFormat="1" applyFont="1" applyBorder="1" applyAlignment="1">
      <alignment vertical="center"/>
    </xf>
    <xf numFmtId="173" fontId="7" fillId="0" borderId="1" xfId="0" applyNumberFormat="1" applyFont="1" applyBorder="1" applyAlignment="1">
      <alignment horizontal="center" vertical="center"/>
    </xf>
    <xf numFmtId="173" fontId="8" fillId="0" borderId="0" xfId="0" applyNumberFormat="1" applyFont="1" applyBorder="1" applyAlignment="1">
      <alignment vertical="center"/>
    </xf>
    <xf numFmtId="173" fontId="7" fillId="0" borderId="1" xfId="0" applyNumberFormat="1" applyFont="1" applyBorder="1" applyAlignment="1">
      <alignment vertical="center"/>
    </xf>
    <xf numFmtId="178" fontId="8" fillId="0" borderId="1" xfId="0" applyNumberFormat="1" applyFont="1" applyFill="1" applyBorder="1" applyAlignment="1">
      <alignment vertical="center"/>
    </xf>
    <xf numFmtId="173" fontId="7" fillId="0" borderId="0" xfId="0" applyNumberFormat="1" applyFont="1" applyBorder="1" applyAlignment="1">
      <alignment horizontal="center" vertical="center"/>
    </xf>
    <xf numFmtId="171" fontId="7" fillId="0" borderId="1" xfId="0" applyNumberFormat="1" applyFont="1" applyFill="1" applyBorder="1" applyAlignment="1">
      <alignment horizontal="center" vertical="center"/>
    </xf>
    <xf numFmtId="173" fontId="8" fillId="0" borderId="1" xfId="0" applyNumberFormat="1" applyFont="1" applyBorder="1" applyAlignment="1">
      <alignment horizontal="center" vertical="center" wrapText="1"/>
    </xf>
    <xf numFmtId="173" fontId="8" fillId="0" borderId="1" xfId="0" applyNumberFormat="1" applyFont="1" applyBorder="1" applyAlignment="1">
      <alignment vertical="center"/>
    </xf>
    <xf numFmtId="170" fontId="7" fillId="2" borderId="1" xfId="0" applyFont="1" applyFill="1" applyBorder="1" applyAlignment="1">
      <alignment horizontal="center" vertical="center" wrapText="1"/>
    </xf>
    <xf numFmtId="170" fontId="7" fillId="2" borderId="1" xfId="0" applyFont="1" applyFill="1" applyBorder="1" applyAlignment="1">
      <alignment horizontal="center" vertical="center"/>
    </xf>
    <xf numFmtId="3" fontId="7" fillId="0" borderId="1" xfId="0" applyNumberFormat="1" applyFont="1" applyFill="1" applyBorder="1" applyAlignment="1">
      <alignment horizontal="right"/>
    </xf>
    <xf numFmtId="3" fontId="8" fillId="0" borderId="1" xfId="0" applyNumberFormat="1" applyFont="1" applyFill="1" applyBorder="1" applyAlignment="1">
      <alignment horizontal="right"/>
    </xf>
    <xf numFmtId="170" fontId="8" fillId="0" borderId="1" xfId="0" applyFont="1" applyFill="1" applyBorder="1" applyAlignment="1">
      <alignment horizontal="right" vertical="center"/>
    </xf>
    <xf numFmtId="170" fontId="7" fillId="2" borderId="1" xfId="0" applyNumberFormat="1" applyFont="1" applyFill="1" applyBorder="1" applyAlignment="1">
      <alignment horizontal="center" vertical="center" wrapText="1"/>
    </xf>
    <xf numFmtId="172" fontId="7" fillId="2" borderId="1" xfId="0" applyNumberFormat="1" applyFont="1" applyFill="1" applyBorder="1" applyAlignment="1">
      <alignment horizontal="center" vertical="center" wrapText="1"/>
    </xf>
    <xf numFmtId="0" fontId="8" fillId="0" borderId="1" xfId="5" applyFont="1" applyFill="1" applyBorder="1" applyAlignment="1">
      <alignment horizontal="center" vertical="top" wrapText="1"/>
    </xf>
    <xf numFmtId="170" fontId="7" fillId="0" borderId="1" xfId="0" applyFont="1" applyFill="1" applyBorder="1" applyAlignment="1">
      <alignment horizontal="left" vertical="center"/>
    </xf>
    <xf numFmtId="170" fontId="7" fillId="2" borderId="1" xfId="0" applyFont="1" applyFill="1" applyBorder="1" applyAlignment="1">
      <alignment horizontal="center" vertical="center"/>
    </xf>
    <xf numFmtId="170" fontId="8" fillId="0" borderId="0" xfId="0" applyFont="1" applyBorder="1" applyAlignment="1">
      <alignment horizontal="left" vertical="top" wrapText="1"/>
    </xf>
    <xf numFmtId="172" fontId="7" fillId="2" borderId="1" xfId="0" applyNumberFormat="1" applyFont="1" applyFill="1" applyBorder="1" applyAlignment="1">
      <alignment horizontal="center" vertical="center" wrapText="1"/>
    </xf>
    <xf numFmtId="170" fontId="7" fillId="0" borderId="4" xfId="0" applyFont="1" applyFill="1" applyBorder="1" applyAlignment="1">
      <alignment vertical="center"/>
    </xf>
    <xf numFmtId="166" fontId="8" fillId="0" borderId="1" xfId="0" applyNumberFormat="1" applyFont="1" applyBorder="1" applyAlignment="1">
      <alignment horizontal="left" vertical="center"/>
    </xf>
    <xf numFmtId="170" fontId="8" fillId="0" borderId="1" xfId="0" applyFont="1" applyBorder="1" applyAlignment="1">
      <alignment horizontal="right" vertical="top" wrapText="1"/>
    </xf>
    <xf numFmtId="170" fontId="8" fillId="0" borderId="1" xfId="0" applyFont="1" applyBorder="1" applyAlignment="1">
      <alignment vertical="top" wrapText="1"/>
    </xf>
    <xf numFmtId="1" fontId="8" fillId="0" borderId="1" xfId="0" applyNumberFormat="1" applyFont="1" applyBorder="1" applyAlignment="1">
      <alignment vertical="center"/>
    </xf>
    <xf numFmtId="170" fontId="8" fillId="0" borderId="1" xfId="0" applyNumberFormat="1" applyFont="1" applyBorder="1" applyAlignment="1">
      <alignment horizontal="left" vertical="center"/>
    </xf>
    <xf numFmtId="170" fontId="8" fillId="0" borderId="1" xfId="0" applyNumberFormat="1" applyFont="1" applyBorder="1" applyAlignment="1">
      <alignment horizontal="center" vertical="top"/>
    </xf>
    <xf numFmtId="170" fontId="8" fillId="0" borderId="1" xfId="0" applyNumberFormat="1" applyFont="1" applyBorder="1" applyAlignment="1">
      <alignment horizontal="justify" vertical="top" wrapText="1"/>
    </xf>
    <xf numFmtId="170" fontId="8" fillId="0" borderId="1" xfId="0" applyNumberFormat="1" applyFont="1" applyBorder="1" applyAlignment="1">
      <alignment vertical="top" wrapText="1"/>
    </xf>
    <xf numFmtId="170" fontId="8" fillId="0" borderId="1" xfId="0" applyNumberFormat="1" applyFont="1" applyBorder="1" applyAlignment="1">
      <alignment vertical="center" wrapText="1"/>
    </xf>
    <xf numFmtId="38" fontId="13" fillId="0" borderId="1" xfId="0" applyNumberFormat="1" applyFont="1" applyFill="1" applyBorder="1" applyAlignment="1">
      <alignment horizontal="left" vertical="center"/>
    </xf>
    <xf numFmtId="173" fontId="8" fillId="0" borderId="1" xfId="0" applyNumberFormat="1" applyFont="1" applyBorder="1" applyAlignment="1">
      <alignment horizontal="right" vertical="center"/>
    </xf>
    <xf numFmtId="170" fontId="7" fillId="2" borderId="1" xfId="0" applyFont="1" applyFill="1" applyBorder="1" applyAlignment="1">
      <alignment horizontal="center" vertical="center" wrapText="1"/>
    </xf>
    <xf numFmtId="170" fontId="8" fillId="0" borderId="1" xfId="0" applyFont="1" applyBorder="1" applyAlignment="1">
      <alignment horizontal="center" vertical="center" wrapText="1"/>
    </xf>
    <xf numFmtId="170" fontId="14" fillId="0" borderId="0" xfId="0" applyFont="1"/>
    <xf numFmtId="170" fontId="15" fillId="0" borderId="0" xfId="0" applyFont="1"/>
    <xf numFmtId="170" fontId="13" fillId="0" borderId="0" xfId="0" applyFont="1"/>
    <xf numFmtId="170" fontId="17" fillId="0" borderId="0" xfId="0" applyFont="1"/>
    <xf numFmtId="170" fontId="13" fillId="0" borderId="1" xfId="0" applyFont="1" applyBorder="1"/>
    <xf numFmtId="170" fontId="17" fillId="2" borderId="1" xfId="0" applyFont="1" applyFill="1" applyBorder="1" applyAlignment="1">
      <alignment horizontal="center" vertical="center"/>
    </xf>
    <xf numFmtId="170" fontId="13" fillId="0" borderId="1" xfId="10" quotePrefix="1" applyFont="1" applyBorder="1"/>
    <xf numFmtId="170" fontId="7" fillId="0" borderId="0" xfId="0" applyFont="1" applyFill="1" applyBorder="1" applyAlignment="1">
      <alignment horizontal="center" vertical="center"/>
    </xf>
    <xf numFmtId="170" fontId="7" fillId="2" borderId="1" xfId="0" applyFont="1" applyFill="1" applyBorder="1" applyAlignment="1">
      <alignment horizontal="center" vertical="center" wrapText="1"/>
    </xf>
    <xf numFmtId="170" fontId="7" fillId="2" borderId="1" xfId="0" applyFont="1" applyFill="1" applyBorder="1" applyAlignment="1">
      <alignment horizontal="center" vertical="center"/>
    </xf>
    <xf numFmtId="170" fontId="7" fillId="0" borderId="0" xfId="0" applyFont="1" applyFill="1" applyBorder="1" applyAlignment="1">
      <alignment horizontal="left" vertical="center"/>
    </xf>
    <xf numFmtId="170" fontId="7" fillId="0" borderId="0" xfId="0" applyFont="1" applyBorder="1" applyAlignment="1">
      <alignment horizontal="center" vertical="center"/>
    </xf>
    <xf numFmtId="170" fontId="7" fillId="0" borderId="0" xfId="0" applyFont="1" applyBorder="1" applyAlignment="1">
      <alignment horizontal="left" vertical="center"/>
    </xf>
    <xf numFmtId="170" fontId="7" fillId="0" borderId="0" xfId="0" applyFont="1" applyBorder="1" applyAlignment="1">
      <alignment horizontal="left"/>
    </xf>
    <xf numFmtId="175" fontId="7" fillId="0" borderId="0" xfId="0" applyNumberFormat="1" applyFont="1" applyBorder="1" applyAlignment="1">
      <alignment horizontal="left" vertical="center"/>
    </xf>
    <xf numFmtId="170" fontId="7" fillId="0" borderId="0" xfId="0" applyFont="1" applyFill="1" applyBorder="1" applyAlignment="1">
      <alignment horizontal="left"/>
    </xf>
    <xf numFmtId="170" fontId="7" fillId="0" borderId="0" xfId="0" applyFont="1" applyBorder="1" applyAlignment="1">
      <alignment horizontal="left" vertical="center" wrapText="1"/>
    </xf>
    <xf numFmtId="172" fontId="7" fillId="2" borderId="1" xfId="0" applyNumberFormat="1" applyFont="1" applyFill="1" applyBorder="1" applyAlignment="1">
      <alignment horizontal="center" vertical="center" wrapText="1"/>
    </xf>
    <xf numFmtId="0" fontId="7" fillId="0" borderId="0" xfId="5" applyFont="1" applyBorder="1" applyAlignment="1">
      <alignment horizontal="center" vertical="center" wrapText="1"/>
    </xf>
    <xf numFmtId="0" fontId="7" fillId="0" borderId="0" xfId="5" applyFont="1" applyBorder="1" applyAlignment="1">
      <alignment vertical="center"/>
    </xf>
    <xf numFmtId="170" fontId="7" fillId="0" borderId="0" xfId="0" applyNumberFormat="1" applyFont="1" applyBorder="1" applyAlignment="1">
      <alignment horizontal="center" vertical="center"/>
    </xf>
    <xf numFmtId="170" fontId="7" fillId="0" borderId="0" xfId="0" applyFont="1" applyAlignment="1">
      <alignment horizontal="center"/>
    </xf>
    <xf numFmtId="170" fontId="7" fillId="0" borderId="0" xfId="0" applyFont="1" applyFill="1" applyBorder="1" applyAlignment="1">
      <alignment horizontal="center" vertical="center"/>
    </xf>
    <xf numFmtId="1" fontId="22" fillId="0" borderId="0" xfId="11" applyNumberFormat="1" applyFont="1" applyFill="1"/>
    <xf numFmtId="0" fontId="23" fillId="0" borderId="11" xfId="12" applyFont="1" applyBorder="1"/>
    <xf numFmtId="0" fontId="24" fillId="0" borderId="15" xfId="12" applyFont="1" applyBorder="1" applyAlignment="1">
      <alignment wrapText="1"/>
    </xf>
    <xf numFmtId="0" fontId="24" fillId="0" borderId="12" xfId="12" applyFont="1" applyBorder="1" applyAlignment="1">
      <alignment wrapText="1"/>
    </xf>
    <xf numFmtId="167" fontId="25" fillId="0" borderId="0" xfId="1" applyFont="1" applyAlignment="1">
      <alignment horizontal="right"/>
    </xf>
    <xf numFmtId="170" fontId="25" fillId="0" borderId="0" xfId="0" applyFont="1" applyAlignment="1">
      <alignment horizontal="right"/>
    </xf>
    <xf numFmtId="0" fontId="24" fillId="0" borderId="0" xfId="12" applyFont="1" applyAlignment="1">
      <alignment wrapText="1"/>
    </xf>
    <xf numFmtId="176" fontId="26" fillId="0" borderId="0" xfId="1" applyNumberFormat="1" applyFont="1" applyFill="1" applyBorder="1"/>
    <xf numFmtId="2" fontId="26" fillId="0" borderId="0" xfId="11" applyNumberFormat="1" applyFont="1" applyFill="1"/>
    <xf numFmtId="180" fontId="26" fillId="0" borderId="0" xfId="11" applyNumberFormat="1" applyFont="1" applyFill="1"/>
    <xf numFmtId="170" fontId="3" fillId="0" borderId="0" xfId="0" applyFont="1"/>
    <xf numFmtId="170" fontId="27" fillId="0" borderId="11" xfId="0" applyFont="1" applyBorder="1" applyAlignment="1">
      <alignment horizontal="center" vertical="center"/>
    </xf>
    <xf numFmtId="170" fontId="27" fillId="0" borderId="15" xfId="0" applyFont="1" applyBorder="1" applyAlignment="1">
      <alignment horizontal="left" vertical="center"/>
    </xf>
    <xf numFmtId="170" fontId="27" fillId="0" borderId="15" xfId="0" applyFont="1" applyBorder="1" applyAlignment="1">
      <alignment horizontal="center" vertical="center"/>
    </xf>
    <xf numFmtId="170" fontId="25" fillId="0" borderId="12" xfId="0" applyFont="1" applyBorder="1" applyAlignment="1">
      <alignment horizontal="right"/>
    </xf>
    <xf numFmtId="167" fontId="25" fillId="0" borderId="0" xfId="1" applyFont="1" applyFill="1" applyBorder="1"/>
    <xf numFmtId="180" fontId="25" fillId="0" borderId="0" xfId="11" applyNumberFormat="1" applyFont="1" applyFill="1" applyBorder="1"/>
    <xf numFmtId="180" fontId="26" fillId="0" borderId="0" xfId="11" applyNumberFormat="1" applyFont="1" applyFill="1" applyBorder="1"/>
    <xf numFmtId="180" fontId="28" fillId="0" borderId="11" xfId="11" applyNumberFormat="1" applyFont="1" applyFill="1" applyBorder="1" applyAlignment="1">
      <alignment horizontal="center" vertical="center"/>
    </xf>
    <xf numFmtId="180" fontId="29" fillId="0" borderId="1" xfId="11" applyNumberFormat="1" applyFont="1" applyFill="1" applyBorder="1" applyAlignment="1">
      <alignment horizontal="center" vertical="center"/>
    </xf>
    <xf numFmtId="167" fontId="22" fillId="0" borderId="15" xfId="11" quotePrefix="1" applyNumberFormat="1" applyFont="1" applyFill="1" applyBorder="1" applyAlignment="1">
      <alignment horizontal="right" vertical="center" wrapText="1"/>
    </xf>
    <xf numFmtId="167" fontId="22" fillId="0" borderId="12" xfId="11" quotePrefix="1" applyNumberFormat="1" applyFont="1" applyFill="1" applyBorder="1" applyAlignment="1">
      <alignment horizontal="right" vertical="center" wrapText="1"/>
    </xf>
    <xf numFmtId="167" fontId="29" fillId="0" borderId="0" xfId="1" applyFont="1" applyFill="1" applyBorder="1" applyAlignment="1">
      <alignment horizontal="right" vertical="center" wrapText="1"/>
    </xf>
    <xf numFmtId="167" fontId="29" fillId="0" borderId="0" xfId="11" applyNumberFormat="1" applyFont="1" applyFill="1" applyBorder="1" applyAlignment="1">
      <alignment horizontal="right" vertical="center" wrapText="1"/>
    </xf>
    <xf numFmtId="167" fontId="22" fillId="0" borderId="0" xfId="11" applyNumberFormat="1" applyFont="1" applyFill="1" applyBorder="1" applyAlignment="1">
      <alignment horizontal="right" vertical="center" wrapText="1"/>
    </xf>
    <xf numFmtId="181" fontId="26" fillId="0" borderId="0" xfId="11" applyNumberFormat="1" applyFont="1" applyFill="1"/>
    <xf numFmtId="1" fontId="22" fillId="0" borderId="0" xfId="11" applyNumberFormat="1" applyFont="1"/>
    <xf numFmtId="180" fontId="22" fillId="0" borderId="4" xfId="11" applyNumberFormat="1" applyFont="1" applyBorder="1" applyAlignment="1">
      <alignment vertical="center"/>
    </xf>
    <xf numFmtId="180" fontId="25" fillId="0" borderId="2" xfId="11" applyNumberFormat="1" applyFont="1" applyBorder="1" applyAlignment="1">
      <alignment horizontal="center" vertical="center"/>
    </xf>
    <xf numFmtId="167" fontId="26" fillId="0" borderId="13" xfId="11" applyNumberFormat="1" applyFont="1" applyBorder="1" applyAlignment="1">
      <alignment horizontal="right" vertical="center"/>
    </xf>
    <xf numFmtId="167" fontId="26" fillId="0" borderId="14" xfId="11" applyNumberFormat="1" applyFont="1" applyBorder="1" applyAlignment="1">
      <alignment horizontal="right" vertical="center"/>
    </xf>
    <xf numFmtId="167" fontId="25" fillId="0" borderId="0" xfId="1" applyFont="1" applyBorder="1" applyAlignment="1">
      <alignment horizontal="right" vertical="center"/>
    </xf>
    <xf numFmtId="167" fontId="25" fillId="0" borderId="0" xfId="11" applyNumberFormat="1" applyFont="1" applyBorder="1" applyAlignment="1">
      <alignment horizontal="right" vertical="center"/>
    </xf>
    <xf numFmtId="167" fontId="26" fillId="0" borderId="0" xfId="11" applyNumberFormat="1" applyFont="1" applyBorder="1" applyAlignment="1">
      <alignment horizontal="right"/>
    </xf>
    <xf numFmtId="180" fontId="26" fillId="0" borderId="0" xfId="11" applyNumberFormat="1" applyFont="1" applyBorder="1"/>
    <xf numFmtId="2" fontId="26" fillId="0" borderId="0" xfId="11" applyNumberFormat="1" applyFont="1"/>
    <xf numFmtId="180" fontId="26" fillId="0" borderId="0" xfId="11" applyNumberFormat="1" applyFont="1"/>
    <xf numFmtId="167" fontId="25" fillId="0" borderId="4" xfId="11" applyNumberFormat="1" applyFont="1" applyBorder="1" applyAlignment="1">
      <alignment horizontal="right" vertical="center"/>
    </xf>
    <xf numFmtId="167" fontId="26" fillId="0" borderId="16" xfId="11" applyNumberFormat="1" applyFont="1" applyBorder="1" applyAlignment="1">
      <alignment horizontal="right" vertical="center"/>
    </xf>
    <xf numFmtId="180" fontId="26" fillId="0" borderId="4" xfId="11" applyNumberFormat="1" applyFont="1" applyBorder="1" applyAlignment="1">
      <alignment vertical="center"/>
    </xf>
    <xf numFmtId="0" fontId="25" fillId="0" borderId="2" xfId="11" applyNumberFormat="1" applyFont="1" applyBorder="1" applyAlignment="1">
      <alignment horizontal="center" vertical="center"/>
    </xf>
    <xf numFmtId="167" fontId="25" fillId="0" borderId="4" xfId="1" applyFont="1" applyFill="1" applyBorder="1" applyAlignment="1">
      <alignment vertical="center"/>
    </xf>
    <xf numFmtId="167" fontId="25" fillId="0" borderId="16" xfId="1" applyFont="1" applyFill="1" applyBorder="1" applyAlignment="1">
      <alignment vertical="center"/>
    </xf>
    <xf numFmtId="167" fontId="25" fillId="0" borderId="0" xfId="1" applyFont="1" applyFill="1" applyBorder="1" applyAlignment="1">
      <alignment vertical="center"/>
    </xf>
    <xf numFmtId="182" fontId="25" fillId="0" borderId="0" xfId="1" applyNumberFormat="1" applyFont="1" applyBorder="1"/>
    <xf numFmtId="183" fontId="26" fillId="0" borderId="0" xfId="1" applyNumberFormat="1" applyFont="1" applyBorder="1"/>
    <xf numFmtId="2" fontId="26" fillId="4" borderId="0" xfId="11" applyNumberFormat="1" applyFont="1" applyFill="1"/>
    <xf numFmtId="1" fontId="25" fillId="0" borderId="2" xfId="11" applyNumberFormat="1" applyFont="1" applyBorder="1" applyAlignment="1">
      <alignment horizontal="center" vertical="center"/>
    </xf>
    <xf numFmtId="184" fontId="22" fillId="0" borderId="0" xfId="11" applyNumberFormat="1" applyFont="1"/>
    <xf numFmtId="1" fontId="25" fillId="0" borderId="2" xfId="11" applyNumberFormat="1" applyFont="1" applyFill="1" applyBorder="1" applyAlignment="1">
      <alignment horizontal="center" vertical="center"/>
    </xf>
    <xf numFmtId="2" fontId="26" fillId="3" borderId="0" xfId="11" applyNumberFormat="1" applyFont="1" applyFill="1"/>
    <xf numFmtId="180" fontId="25" fillId="0" borderId="4" xfId="11" applyNumberFormat="1" applyFont="1" applyBorder="1" applyAlignment="1">
      <alignment vertical="center"/>
    </xf>
    <xf numFmtId="180" fontId="26" fillId="0" borderId="4" xfId="11" applyNumberFormat="1" applyFont="1" applyFill="1" applyBorder="1" applyAlignment="1">
      <alignment vertical="center"/>
    </xf>
    <xf numFmtId="180" fontId="26" fillId="0" borderId="7" xfId="11" applyNumberFormat="1" applyFont="1" applyBorder="1" applyAlignment="1">
      <alignment vertical="center"/>
    </xf>
    <xf numFmtId="1" fontId="25" fillId="0" borderId="10" xfId="11" applyNumberFormat="1" applyFont="1" applyBorder="1" applyAlignment="1">
      <alignment horizontal="center" vertical="center"/>
    </xf>
    <xf numFmtId="167" fontId="25" fillId="0" borderId="7" xfId="1" applyFont="1" applyFill="1" applyBorder="1" applyAlignment="1">
      <alignment vertical="center"/>
    </xf>
    <xf numFmtId="167" fontId="25" fillId="0" borderId="8" xfId="1" applyFont="1" applyFill="1" applyBorder="1" applyAlignment="1">
      <alignment vertical="center"/>
    </xf>
    <xf numFmtId="167" fontId="25" fillId="0" borderId="0" xfId="1" applyFont="1" applyBorder="1" applyAlignment="1">
      <alignment vertical="center"/>
    </xf>
    <xf numFmtId="180" fontId="22" fillId="0" borderId="7" xfId="11" applyNumberFormat="1" applyFont="1" applyBorder="1" applyAlignment="1">
      <alignment vertical="center"/>
    </xf>
    <xf numFmtId="180" fontId="29" fillId="0" borderId="10" xfId="11" applyNumberFormat="1" applyFont="1" applyBorder="1" applyAlignment="1">
      <alignment horizontal="center" vertical="center"/>
    </xf>
    <xf numFmtId="167" fontId="29" fillId="0" borderId="11" xfId="1" applyFont="1" applyFill="1" applyBorder="1" applyAlignment="1">
      <alignment horizontal="center" vertical="center"/>
    </xf>
    <xf numFmtId="167" fontId="29" fillId="0" borderId="12" xfId="1" applyFont="1" applyFill="1" applyBorder="1" applyAlignment="1">
      <alignment horizontal="center" vertical="center"/>
    </xf>
    <xf numFmtId="167" fontId="29" fillId="0" borderId="0" xfId="1" applyFont="1" applyBorder="1" applyAlignment="1">
      <alignment horizontal="center" vertical="center"/>
    </xf>
    <xf numFmtId="2" fontId="22" fillId="0" borderId="0" xfId="11" applyNumberFormat="1" applyFont="1" applyFill="1"/>
    <xf numFmtId="180" fontId="22" fillId="0" borderId="0" xfId="11" applyNumberFormat="1" applyFont="1"/>
    <xf numFmtId="167" fontId="27" fillId="0" borderId="0" xfId="0" applyNumberFormat="1" applyFont="1"/>
    <xf numFmtId="167" fontId="25" fillId="0" borderId="4" xfId="1" applyFont="1" applyFill="1" applyBorder="1" applyAlignment="1">
      <alignment horizontal="right" vertical="center"/>
    </xf>
    <xf numFmtId="2" fontId="26" fillId="0" borderId="16" xfId="1" applyNumberFormat="1" applyFont="1" applyFill="1" applyBorder="1" applyAlignment="1">
      <alignment horizontal="right" vertical="center"/>
    </xf>
    <xf numFmtId="180" fontId="22" fillId="0" borderId="1" xfId="11" applyNumberFormat="1" applyFont="1" applyBorder="1" applyAlignment="1">
      <alignment vertical="center"/>
    </xf>
    <xf numFmtId="0" fontId="29" fillId="0" borderId="1" xfId="11" applyNumberFormat="1" applyFont="1" applyBorder="1" applyAlignment="1">
      <alignment horizontal="center" vertical="center"/>
    </xf>
    <xf numFmtId="182" fontId="25" fillId="0" borderId="4" xfId="1" applyNumberFormat="1" applyFont="1" applyFill="1" applyBorder="1" applyAlignment="1">
      <alignment vertical="center"/>
    </xf>
    <xf numFmtId="2" fontId="25" fillId="0" borderId="16" xfId="1" applyNumberFormat="1" applyFont="1" applyFill="1" applyBorder="1" applyAlignment="1">
      <alignment vertical="center"/>
    </xf>
    <xf numFmtId="0" fontId="25" fillId="5" borderId="10" xfId="11" applyNumberFormat="1" applyFont="1" applyFill="1" applyBorder="1" applyAlignment="1">
      <alignment horizontal="center" vertical="center"/>
    </xf>
    <xf numFmtId="0" fontId="29" fillId="0" borderId="10" xfId="11" applyNumberFormat="1" applyFont="1" applyBorder="1" applyAlignment="1">
      <alignment horizontal="center" vertical="center"/>
    </xf>
    <xf numFmtId="167" fontId="29" fillId="0" borderId="0" xfId="1" applyFont="1" applyBorder="1"/>
    <xf numFmtId="180" fontId="22" fillId="0" borderId="17" xfId="11" applyNumberFormat="1" applyFont="1" applyBorder="1" applyAlignment="1">
      <alignment vertical="center"/>
    </xf>
    <xf numFmtId="0" fontId="29" fillId="0" borderId="18" xfId="11" applyNumberFormat="1" applyFont="1" applyBorder="1" applyAlignment="1">
      <alignment horizontal="center" vertical="center"/>
    </xf>
    <xf numFmtId="167" fontId="29" fillId="0" borderId="17" xfId="1" applyFont="1" applyFill="1" applyBorder="1" applyAlignment="1">
      <alignment horizontal="center" vertical="center"/>
    </xf>
    <xf numFmtId="167" fontId="29" fillId="0" borderId="19" xfId="1" applyFont="1" applyFill="1" applyBorder="1" applyAlignment="1">
      <alignment horizontal="center" vertical="center"/>
    </xf>
    <xf numFmtId="167" fontId="25" fillId="0" borderId="4" xfId="1" applyFont="1" applyFill="1" applyBorder="1" applyAlignment="1">
      <alignment horizontal="center" vertical="center"/>
    </xf>
    <xf numFmtId="2" fontId="25" fillId="0" borderId="16" xfId="1" applyNumberFormat="1" applyFont="1" applyFill="1" applyBorder="1" applyAlignment="1">
      <alignment horizontal="center" vertical="center"/>
    </xf>
    <xf numFmtId="167" fontId="25" fillId="0" borderId="0" xfId="1" applyFont="1" applyBorder="1" applyAlignment="1">
      <alignment horizontal="center" vertical="center"/>
    </xf>
    <xf numFmtId="170" fontId="27" fillId="0" borderId="4" xfId="0" applyFont="1" applyBorder="1" applyAlignment="1">
      <alignment vertical="center"/>
    </xf>
    <xf numFmtId="2" fontId="26" fillId="0" borderId="0" xfId="1" applyNumberFormat="1" applyFont="1" applyFill="1" applyBorder="1" applyAlignment="1">
      <alignment horizontal="right" vertical="center"/>
    </xf>
    <xf numFmtId="182" fontId="25" fillId="0" borderId="0" xfId="1" applyNumberFormat="1" applyFont="1" applyFill="1" applyBorder="1" applyAlignment="1">
      <alignment vertical="center"/>
    </xf>
    <xf numFmtId="2" fontId="26" fillId="6" borderId="0" xfId="11" applyNumberFormat="1" applyFont="1" applyFill="1"/>
    <xf numFmtId="182" fontId="26" fillId="0" borderId="0" xfId="1" applyNumberFormat="1" applyFont="1" applyBorder="1"/>
    <xf numFmtId="182" fontId="25" fillId="0" borderId="16" xfId="1" applyNumberFormat="1" applyFont="1" applyFill="1" applyBorder="1" applyAlignment="1">
      <alignment vertical="center"/>
    </xf>
    <xf numFmtId="182" fontId="25" fillId="0" borderId="0" xfId="1" applyNumberFormat="1" applyFont="1" applyBorder="1" applyAlignment="1">
      <alignment vertical="center"/>
    </xf>
    <xf numFmtId="180" fontId="22" fillId="0" borderId="11" xfId="11" applyNumberFormat="1" applyFont="1" applyFill="1" applyBorder="1" applyAlignment="1">
      <alignment vertical="center"/>
    </xf>
    <xf numFmtId="170" fontId="3" fillId="0" borderId="1" xfId="0" applyFont="1" applyBorder="1" applyAlignment="1">
      <alignment vertical="center"/>
    </xf>
    <xf numFmtId="182" fontId="29" fillId="0" borderId="0" xfId="1" applyNumberFormat="1" applyFont="1" applyBorder="1" applyAlignment="1">
      <alignment horizontal="center" vertical="center"/>
    </xf>
    <xf numFmtId="167" fontId="22" fillId="7" borderId="0" xfId="1" applyFont="1" applyFill="1" applyBorder="1" applyAlignment="1">
      <alignment horizontal="right"/>
    </xf>
    <xf numFmtId="180" fontId="22" fillId="0" borderId="4" xfId="11" applyNumberFormat="1" applyFont="1" applyFill="1" applyBorder="1" applyAlignment="1">
      <alignment vertical="center"/>
    </xf>
    <xf numFmtId="0" fontId="25" fillId="0" borderId="2" xfId="11" applyNumberFormat="1" applyFont="1" applyFill="1" applyBorder="1" applyAlignment="1">
      <alignment horizontal="center" vertical="center"/>
    </xf>
    <xf numFmtId="185" fontId="26" fillId="0" borderId="0" xfId="11" applyNumberFormat="1" applyFont="1"/>
    <xf numFmtId="2" fontId="26" fillId="8" borderId="0" xfId="11" applyNumberFormat="1" applyFont="1" applyFill="1"/>
    <xf numFmtId="2" fontId="26" fillId="9" borderId="0" xfId="11" applyNumberFormat="1" applyFont="1" applyFill="1"/>
    <xf numFmtId="180" fontId="22" fillId="0" borderId="1" xfId="11" applyNumberFormat="1" applyFont="1" applyFill="1" applyBorder="1" applyAlignment="1">
      <alignment vertical="center"/>
    </xf>
    <xf numFmtId="0" fontId="29" fillId="0" borderId="1" xfId="11" applyNumberFormat="1" applyFont="1" applyFill="1" applyBorder="1" applyAlignment="1">
      <alignment horizontal="center" vertical="center"/>
    </xf>
    <xf numFmtId="185" fontId="22" fillId="0" borderId="0" xfId="11" applyNumberFormat="1" applyFont="1"/>
    <xf numFmtId="183" fontId="25" fillId="0" borderId="0" xfId="1" applyNumberFormat="1" applyFont="1" applyBorder="1"/>
    <xf numFmtId="0" fontId="25" fillId="0" borderId="0" xfId="1" applyNumberFormat="1" applyFont="1" applyBorder="1"/>
    <xf numFmtId="184" fontId="26" fillId="0" borderId="0" xfId="11" applyNumberFormat="1" applyFont="1" applyFill="1"/>
    <xf numFmtId="1" fontId="3" fillId="0" borderId="0" xfId="0" applyNumberFormat="1" applyFont="1"/>
    <xf numFmtId="180" fontId="22" fillId="0" borderId="7" xfId="11" applyNumberFormat="1" applyFont="1" applyFill="1" applyBorder="1" applyAlignment="1">
      <alignment vertical="center"/>
    </xf>
    <xf numFmtId="180" fontId="29" fillId="0" borderId="10" xfId="11" applyNumberFormat="1" applyFont="1" applyFill="1" applyBorder="1" applyAlignment="1">
      <alignment horizontal="center" vertical="center"/>
    </xf>
    <xf numFmtId="180" fontId="22" fillId="0" borderId="0" xfId="11" applyNumberFormat="1" applyFont="1" applyFill="1" applyBorder="1" applyAlignment="1">
      <alignment horizontal="center" vertical="center"/>
    </xf>
    <xf numFmtId="170" fontId="27" fillId="0" borderId="17" xfId="0" applyFont="1" applyBorder="1" applyAlignment="1">
      <alignment horizontal="left" vertical="center"/>
    </xf>
    <xf numFmtId="170" fontId="27" fillId="0" borderId="18" xfId="0" applyFont="1" applyBorder="1" applyAlignment="1">
      <alignment horizontal="left" vertical="center"/>
    </xf>
    <xf numFmtId="2" fontId="22" fillId="0" borderId="0" xfId="11" applyNumberFormat="1" applyFont="1"/>
    <xf numFmtId="180" fontId="22" fillId="0" borderId="0" xfId="11" applyNumberFormat="1" applyFont="1" applyBorder="1" applyAlignment="1">
      <alignment vertical="center"/>
    </xf>
    <xf numFmtId="1" fontId="23" fillId="0" borderId="0" xfId="12" applyNumberFormat="1" applyFont="1"/>
    <xf numFmtId="167" fontId="27" fillId="0" borderId="0" xfId="1" applyFont="1" applyFill="1" applyBorder="1" applyAlignment="1">
      <alignment horizontal="right"/>
    </xf>
    <xf numFmtId="182" fontId="27" fillId="0" borderId="0" xfId="1" applyNumberFormat="1" applyFont="1" applyFill="1" applyBorder="1" applyAlignment="1">
      <alignment horizontal="right"/>
    </xf>
    <xf numFmtId="186" fontId="3" fillId="0" borderId="0" xfId="0" applyNumberFormat="1" applyFont="1"/>
    <xf numFmtId="0" fontId="30" fillId="0" borderId="0" xfId="12" applyFont="1"/>
    <xf numFmtId="187" fontId="30" fillId="0" borderId="0" xfId="12" applyNumberFormat="1" applyFont="1"/>
    <xf numFmtId="170" fontId="3" fillId="5" borderId="4" xfId="0" applyFont="1" applyFill="1" applyBorder="1"/>
    <xf numFmtId="0" fontId="31" fillId="0" borderId="0" xfId="12" applyFont="1" applyAlignment="1">
      <alignment horizontal="center"/>
    </xf>
    <xf numFmtId="182" fontId="32" fillId="0" borderId="0" xfId="1" applyNumberFormat="1" applyFont="1"/>
    <xf numFmtId="182" fontId="32" fillId="0" borderId="16" xfId="1" applyNumberFormat="1" applyFont="1" applyBorder="1"/>
    <xf numFmtId="167" fontId="3" fillId="0" borderId="0" xfId="1" applyFont="1"/>
    <xf numFmtId="188" fontId="26" fillId="0" borderId="0" xfId="11" applyNumberFormat="1" applyFont="1"/>
    <xf numFmtId="170" fontId="33" fillId="5" borderId="4" xfId="0" applyFont="1" applyFill="1" applyBorder="1"/>
    <xf numFmtId="170" fontId="27" fillId="5" borderId="0" xfId="0" applyFont="1" applyFill="1" applyAlignment="1">
      <alignment horizontal="left"/>
    </xf>
    <xf numFmtId="43" fontId="34" fillId="0" borderId="0" xfId="0" applyNumberFormat="1" applyFont="1"/>
    <xf numFmtId="2" fontId="34" fillId="0" borderId="16" xfId="0" applyNumberFormat="1" applyFont="1" applyBorder="1"/>
    <xf numFmtId="167" fontId="33" fillId="5" borderId="4" xfId="1" applyFont="1" applyFill="1" applyBorder="1"/>
    <xf numFmtId="170" fontId="33" fillId="5" borderId="0" xfId="0" applyFont="1" applyFill="1"/>
    <xf numFmtId="167" fontId="22" fillId="0" borderId="0" xfId="11" applyNumberFormat="1" applyFont="1" applyFill="1" applyBorder="1" applyAlignment="1">
      <alignment horizontal="right"/>
    </xf>
    <xf numFmtId="167" fontId="3" fillId="5" borderId="4" xfId="1" applyFont="1" applyFill="1" applyBorder="1"/>
    <xf numFmtId="170" fontId="3" fillId="5" borderId="0" xfId="0" applyFont="1" applyFill="1"/>
    <xf numFmtId="167" fontId="25" fillId="0" borderId="0" xfId="0" applyNumberFormat="1" applyFont="1"/>
    <xf numFmtId="2" fontId="25" fillId="0" borderId="16" xfId="0" applyNumberFormat="1" applyFont="1" applyBorder="1"/>
    <xf numFmtId="167" fontId="3" fillId="0" borderId="4" xfId="1" applyFont="1" applyBorder="1"/>
    <xf numFmtId="170" fontId="3" fillId="0" borderId="4" xfId="0" applyFont="1" applyFill="1" applyBorder="1"/>
    <xf numFmtId="183" fontId="3" fillId="0" borderId="0" xfId="1" applyNumberFormat="1" applyFont="1" applyFill="1" applyBorder="1" applyAlignment="1">
      <alignment horizontal="left"/>
    </xf>
    <xf numFmtId="2" fontId="3" fillId="0" borderId="16" xfId="0" applyNumberFormat="1" applyFont="1" applyBorder="1" applyAlignment="1">
      <alignment horizontal="left"/>
    </xf>
    <xf numFmtId="0" fontId="35" fillId="0" borderId="0" xfId="12" applyFont="1"/>
    <xf numFmtId="183" fontId="3" fillId="5" borderId="0" xfId="1" applyNumberFormat="1" applyFont="1" applyFill="1" applyBorder="1" applyAlignment="1">
      <alignment horizontal="left"/>
    </xf>
    <xf numFmtId="167" fontId="36" fillId="0" borderId="0" xfId="1" applyFont="1"/>
    <xf numFmtId="0" fontId="36" fillId="0" borderId="0" xfId="12" applyFont="1"/>
    <xf numFmtId="170" fontId="3" fillId="0" borderId="16" xfId="0" applyFont="1" applyBorder="1" applyAlignment="1">
      <alignment horizontal="left"/>
    </xf>
    <xf numFmtId="2" fontId="22" fillId="0" borderId="16" xfId="11" applyNumberFormat="1" applyFont="1" applyFill="1" applyBorder="1" applyAlignment="1">
      <alignment horizontal="right"/>
    </xf>
    <xf numFmtId="170" fontId="3" fillId="0" borderId="4" xfId="0" applyFont="1" applyBorder="1"/>
    <xf numFmtId="170" fontId="3" fillId="5" borderId="0" xfId="0" applyFont="1" applyFill="1" applyAlignment="1">
      <alignment horizontal="left"/>
    </xf>
    <xf numFmtId="2" fontId="3" fillId="0" borderId="16" xfId="0" applyNumberFormat="1" applyFont="1" applyBorder="1"/>
    <xf numFmtId="170" fontId="3" fillId="5" borderId="0" xfId="0" applyFont="1" applyFill="1" applyAlignment="1">
      <alignment horizontal="center"/>
    </xf>
    <xf numFmtId="1" fontId="29" fillId="0" borderId="0" xfId="11" applyNumberFormat="1" applyFont="1" applyFill="1"/>
    <xf numFmtId="170" fontId="3" fillId="0" borderId="7" xfId="0" applyFont="1" applyBorder="1"/>
    <xf numFmtId="0" fontId="38" fillId="0" borderId="23" xfId="12" applyFont="1" applyBorder="1" applyAlignment="1">
      <alignment wrapText="1"/>
    </xf>
    <xf numFmtId="170" fontId="3" fillId="0" borderId="23" xfId="0" applyFont="1" applyBorder="1"/>
    <xf numFmtId="2" fontId="3" fillId="0" borderId="8" xfId="0" applyNumberFormat="1" applyFont="1" applyBorder="1"/>
    <xf numFmtId="0" fontId="38" fillId="0" borderId="11" xfId="12" applyFont="1" applyBorder="1"/>
    <xf numFmtId="0" fontId="39" fillId="0" borderId="15" xfId="12" applyFont="1" applyBorder="1" applyAlignment="1">
      <alignment horizontal="center" wrapText="1"/>
    </xf>
    <xf numFmtId="2" fontId="39" fillId="0" borderId="12" xfId="12" applyNumberFormat="1" applyFont="1" applyBorder="1" applyAlignment="1">
      <alignment horizontal="center" wrapText="1"/>
    </xf>
    <xf numFmtId="167" fontId="29" fillId="0" borderId="0" xfId="1" applyFont="1" applyFill="1" applyBorder="1" applyAlignment="1">
      <alignment horizontal="right"/>
    </xf>
    <xf numFmtId="167" fontId="29" fillId="0" borderId="0" xfId="11" applyNumberFormat="1" applyFont="1" applyFill="1" applyBorder="1" applyAlignment="1">
      <alignment horizontal="right"/>
    </xf>
    <xf numFmtId="2" fontId="23" fillId="0" borderId="0" xfId="11" applyNumberFormat="1" applyFont="1" applyFill="1" applyBorder="1" applyAlignment="1">
      <alignment horizontal="right"/>
    </xf>
    <xf numFmtId="170" fontId="27" fillId="0" borderId="13" xfId="0" applyFont="1" applyBorder="1" applyAlignment="1">
      <alignment vertical="center"/>
    </xf>
    <xf numFmtId="0" fontId="27" fillId="0" borderId="24" xfId="12" applyFont="1" applyBorder="1" applyAlignment="1">
      <alignment horizontal="left" vertical="center"/>
    </xf>
    <xf numFmtId="0" fontId="38" fillId="0" borderId="24" xfId="12" applyFont="1" applyBorder="1" applyAlignment="1">
      <alignment horizontal="center" vertical="center"/>
    </xf>
    <xf numFmtId="2" fontId="3" fillId="0" borderId="14" xfId="0" applyNumberFormat="1" applyFont="1" applyBorder="1" applyAlignment="1">
      <alignment horizontal="right"/>
    </xf>
    <xf numFmtId="183" fontId="23" fillId="0" borderId="0" xfId="11" applyNumberFormat="1" applyFont="1" applyFill="1" applyBorder="1" applyAlignment="1">
      <alignment horizontal="right"/>
    </xf>
    <xf numFmtId="180" fontId="40" fillId="0" borderId="13" xfId="11" applyNumberFormat="1" applyFont="1" applyFill="1" applyBorder="1" applyAlignment="1">
      <alignment horizontal="center" vertical="center"/>
    </xf>
    <xf numFmtId="180" fontId="29" fillId="0" borderId="9" xfId="11" applyNumberFormat="1" applyFont="1" applyFill="1" applyBorder="1" applyAlignment="1">
      <alignment horizontal="center" vertical="center"/>
    </xf>
    <xf numFmtId="167" fontId="29" fillId="0" borderId="24" xfId="11" applyNumberFormat="1" applyFont="1" applyFill="1" applyBorder="1" applyAlignment="1">
      <alignment horizontal="center" vertical="center"/>
    </xf>
    <xf numFmtId="2" fontId="29" fillId="0" borderId="14" xfId="11" applyNumberFormat="1" applyFont="1" applyFill="1" applyBorder="1" applyAlignment="1">
      <alignment horizontal="center" vertical="center" wrapText="1"/>
    </xf>
    <xf numFmtId="180" fontId="29" fillId="0" borderId="13" xfId="11" applyNumberFormat="1" applyFont="1" applyFill="1" applyBorder="1" applyAlignment="1"/>
    <xf numFmtId="180" fontId="40" fillId="0" borderId="9" xfId="11" applyNumberFormat="1" applyFont="1" applyFill="1" applyBorder="1" applyAlignment="1">
      <alignment horizontal="center" vertical="top"/>
    </xf>
    <xf numFmtId="167" fontId="25" fillId="0" borderId="13" xfId="11" applyNumberFormat="1" applyFont="1" applyFill="1" applyBorder="1" applyAlignment="1">
      <alignment horizontal="right"/>
    </xf>
    <xf numFmtId="2" fontId="25" fillId="0" borderId="14" xfId="11" applyNumberFormat="1" applyFont="1" applyFill="1" applyBorder="1" applyAlignment="1">
      <alignment horizontal="right"/>
    </xf>
    <xf numFmtId="180" fontId="25" fillId="0" borderId="4" xfId="11" applyNumberFormat="1" applyFont="1" applyFill="1" applyBorder="1" applyAlignment="1"/>
    <xf numFmtId="180" fontId="25" fillId="0" borderId="2" xfId="11" applyNumberFormat="1" applyFont="1" applyFill="1" applyBorder="1" applyAlignment="1">
      <alignment horizontal="center" vertical="top"/>
    </xf>
    <xf numFmtId="187" fontId="25" fillId="0" borderId="4" xfId="11" applyNumberFormat="1" applyFont="1" applyFill="1" applyBorder="1" applyAlignment="1">
      <alignment horizontal="right"/>
    </xf>
    <xf numFmtId="2" fontId="25" fillId="0" borderId="16" xfId="11" applyNumberFormat="1" applyFont="1" applyFill="1" applyBorder="1" applyAlignment="1">
      <alignment horizontal="right"/>
    </xf>
    <xf numFmtId="185" fontId="25" fillId="0" borderId="2" xfId="11" quotePrefix="1" applyNumberFormat="1" applyFont="1" applyFill="1" applyBorder="1" applyAlignment="1">
      <alignment horizontal="right" vertical="top"/>
    </xf>
    <xf numFmtId="167" fontId="25" fillId="0" borderId="4" xfId="1" applyFont="1" applyFill="1" applyBorder="1" applyAlignment="1">
      <alignment horizontal="right"/>
    </xf>
    <xf numFmtId="167" fontId="25" fillId="0" borderId="16" xfId="1" applyFont="1" applyFill="1" applyBorder="1" applyAlignment="1">
      <alignment horizontal="right"/>
    </xf>
    <xf numFmtId="167" fontId="30" fillId="0" borderId="0" xfId="1" applyFont="1" applyFill="1" applyBorder="1" applyAlignment="1">
      <alignment horizontal="left"/>
    </xf>
    <xf numFmtId="39" fontId="26" fillId="0" borderId="0" xfId="11" applyNumberFormat="1" applyFont="1"/>
    <xf numFmtId="183" fontId="30" fillId="0" borderId="0" xfId="11" applyNumberFormat="1" applyFont="1" applyFill="1" applyBorder="1" applyAlignment="1">
      <alignment horizontal="left"/>
    </xf>
    <xf numFmtId="180" fontId="29" fillId="0" borderId="4" xfId="11" applyNumberFormat="1" applyFont="1" applyFill="1" applyBorder="1" applyAlignment="1"/>
    <xf numFmtId="180" fontId="25" fillId="0" borderId="2" xfId="11" applyNumberFormat="1" applyFont="1" applyFill="1" applyBorder="1" applyAlignment="1">
      <alignment horizontal="right" vertical="top"/>
    </xf>
    <xf numFmtId="167" fontId="29" fillId="0" borderId="13" xfId="1" applyFont="1" applyFill="1" applyBorder="1" applyAlignment="1">
      <alignment horizontal="right"/>
    </xf>
    <xf numFmtId="2" fontId="29" fillId="0" borderId="14" xfId="1" applyNumberFormat="1" applyFont="1" applyFill="1" applyBorder="1" applyAlignment="1">
      <alignment horizontal="right"/>
    </xf>
    <xf numFmtId="167" fontId="22" fillId="0" borderId="0" xfId="1" applyFont="1" applyFill="1" applyBorder="1" applyAlignment="1">
      <alignment horizontal="right"/>
    </xf>
    <xf numFmtId="1" fontId="30" fillId="0" borderId="0" xfId="11" applyNumberFormat="1" applyFont="1" applyFill="1" applyBorder="1" applyAlignment="1">
      <alignment horizontal="right"/>
    </xf>
    <xf numFmtId="186" fontId="23" fillId="0" borderId="0" xfId="11" applyNumberFormat="1" applyFont="1" applyFill="1" applyBorder="1" applyAlignment="1">
      <alignment horizontal="right"/>
    </xf>
    <xf numFmtId="180" fontId="29" fillId="0" borderId="4" xfId="11" applyNumberFormat="1" applyFont="1" applyFill="1" applyBorder="1"/>
    <xf numFmtId="2" fontId="25" fillId="0" borderId="16" xfId="1" applyNumberFormat="1" applyFont="1" applyFill="1" applyBorder="1" applyAlignment="1">
      <alignment horizontal="right"/>
    </xf>
    <xf numFmtId="189" fontId="22" fillId="0" borderId="0" xfId="1" applyNumberFormat="1" applyFont="1" applyFill="1" applyBorder="1" applyAlignment="1">
      <alignment horizontal="right"/>
    </xf>
    <xf numFmtId="185" fontId="41" fillId="0" borderId="2" xfId="11" applyNumberFormat="1" applyFont="1" applyFill="1" applyBorder="1" applyAlignment="1">
      <alignment vertical="center" wrapText="1"/>
    </xf>
    <xf numFmtId="167" fontId="25" fillId="0" borderId="7" xfId="1" applyFont="1" applyFill="1" applyBorder="1" applyAlignment="1">
      <alignment horizontal="right"/>
    </xf>
    <xf numFmtId="167" fontId="25" fillId="0" borderId="8" xfId="1" applyFont="1" applyFill="1" applyBorder="1" applyAlignment="1">
      <alignment horizontal="right"/>
    </xf>
    <xf numFmtId="167" fontId="29" fillId="0" borderId="4" xfId="1" applyFont="1" applyFill="1" applyBorder="1" applyAlignment="1">
      <alignment horizontal="right"/>
    </xf>
    <xf numFmtId="167" fontId="29" fillId="0" borderId="16" xfId="1" applyFont="1" applyFill="1" applyBorder="1" applyAlignment="1">
      <alignment horizontal="right"/>
    </xf>
    <xf numFmtId="170" fontId="3" fillId="0" borderId="13" xfId="0" applyFont="1" applyBorder="1"/>
    <xf numFmtId="180" fontId="25" fillId="0" borderId="4" xfId="11" applyNumberFormat="1" applyFont="1" applyFill="1" applyBorder="1" applyAlignment="1">
      <alignment horizontal="right" vertical="top"/>
    </xf>
    <xf numFmtId="167" fontId="29" fillId="0" borderId="13" xfId="1" applyFont="1" applyFill="1" applyBorder="1"/>
    <xf numFmtId="167" fontId="29" fillId="0" borderId="14" xfId="1" applyFont="1" applyFill="1" applyBorder="1"/>
    <xf numFmtId="1" fontId="23" fillId="0" borderId="0" xfId="11" applyNumberFormat="1" applyFont="1" applyFill="1" applyBorder="1" applyAlignment="1">
      <alignment horizontal="right"/>
    </xf>
    <xf numFmtId="2" fontId="42" fillId="0" borderId="0" xfId="11" applyNumberFormat="1" applyFont="1" applyFill="1" applyBorder="1" applyAlignment="1">
      <alignment horizontal="right"/>
    </xf>
    <xf numFmtId="180" fontId="25" fillId="0" borderId="4" xfId="11" applyNumberFormat="1" applyFont="1" applyFill="1" applyBorder="1"/>
    <xf numFmtId="2" fontId="25" fillId="0" borderId="16" xfId="1" applyNumberFormat="1" applyFont="1" applyFill="1" applyBorder="1"/>
    <xf numFmtId="183" fontId="23" fillId="3" borderId="0" xfId="11" applyNumberFormat="1" applyFont="1" applyFill="1" applyBorder="1" applyAlignment="1">
      <alignment horizontal="right"/>
    </xf>
    <xf numFmtId="167" fontId="29" fillId="0" borderId="17" xfId="1" applyFont="1" applyFill="1" applyBorder="1"/>
    <xf numFmtId="167" fontId="29" fillId="0" borderId="19" xfId="1" applyFont="1" applyFill="1" applyBorder="1"/>
    <xf numFmtId="167" fontId="23" fillId="0" borderId="0" xfId="1" applyFont="1" applyFill="1" applyBorder="1" applyAlignment="1">
      <alignment horizontal="right"/>
    </xf>
    <xf numFmtId="190" fontId="42" fillId="0" borderId="0" xfId="11" applyNumberFormat="1" applyFont="1" applyFill="1" applyBorder="1" applyAlignment="1">
      <alignment horizontal="right"/>
    </xf>
    <xf numFmtId="0" fontId="25" fillId="0" borderId="4" xfId="11" applyNumberFormat="1" applyFont="1" applyFill="1" applyBorder="1" applyAlignment="1">
      <alignment horizontal="left" wrapText="1" indent="2"/>
    </xf>
    <xf numFmtId="167" fontId="26" fillId="0" borderId="0" xfId="1" applyFont="1"/>
    <xf numFmtId="185" fontId="25" fillId="0" borderId="2" xfId="11" applyNumberFormat="1" applyFont="1" applyFill="1" applyBorder="1" applyAlignment="1">
      <alignment horizontal="right" vertical="top"/>
    </xf>
    <xf numFmtId="167" fontId="43" fillId="0" borderId="4" xfId="1" applyFont="1" applyFill="1" applyBorder="1" applyAlignment="1">
      <alignment horizontal="right"/>
    </xf>
    <xf numFmtId="167" fontId="29" fillId="0" borderId="11" xfId="1" applyFont="1" applyFill="1" applyBorder="1" applyAlignment="1">
      <alignment horizontal="right"/>
    </xf>
    <xf numFmtId="167" fontId="29" fillId="0" borderId="12" xfId="1" applyFont="1" applyFill="1" applyBorder="1" applyAlignment="1">
      <alignment horizontal="right"/>
    </xf>
    <xf numFmtId="167" fontId="29" fillId="0" borderId="4" xfId="1" applyFont="1" applyFill="1" applyBorder="1"/>
    <xf numFmtId="167" fontId="25" fillId="0" borderId="17" xfId="1" applyFont="1" applyFill="1" applyBorder="1"/>
    <xf numFmtId="167" fontId="25" fillId="0" borderId="19" xfId="1" applyFont="1" applyFill="1" applyBorder="1"/>
    <xf numFmtId="167" fontId="3" fillId="0" borderId="0" xfId="1" applyFont="1" applyBorder="1"/>
    <xf numFmtId="167" fontId="29" fillId="3" borderId="0" xfId="1" applyFont="1" applyFill="1" applyBorder="1" applyAlignment="1">
      <alignment horizontal="right"/>
    </xf>
    <xf numFmtId="167" fontId="43" fillId="0" borderId="0" xfId="1" applyFont="1" applyFill="1" applyBorder="1"/>
    <xf numFmtId="191" fontId="23" fillId="0" borderId="0" xfId="11" applyNumberFormat="1" applyFont="1" applyFill="1" applyBorder="1" applyAlignment="1">
      <alignment horizontal="right"/>
    </xf>
    <xf numFmtId="186" fontId="42" fillId="0" borderId="0" xfId="11" applyNumberFormat="1" applyFont="1" applyFill="1" applyBorder="1" applyAlignment="1">
      <alignment horizontal="right"/>
    </xf>
    <xf numFmtId="180" fontId="29" fillId="0" borderId="4" xfId="11" applyNumberFormat="1" applyFont="1" applyFill="1" applyBorder="1" applyAlignment="1">
      <alignment vertical="center" wrapText="1"/>
    </xf>
    <xf numFmtId="167" fontId="29" fillId="0" borderId="11" xfId="1" applyFont="1" applyFill="1" applyBorder="1" applyAlignment="1">
      <alignment horizontal="right" vertical="center"/>
    </xf>
    <xf numFmtId="167" fontId="29" fillId="0" borderId="12" xfId="1" applyFont="1" applyFill="1" applyBorder="1" applyAlignment="1">
      <alignment horizontal="right" vertical="center"/>
    </xf>
    <xf numFmtId="180" fontId="25" fillId="0" borderId="10" xfId="11" applyNumberFormat="1" applyFont="1" applyFill="1" applyBorder="1" applyAlignment="1">
      <alignment vertical="center" wrapText="1"/>
    </xf>
    <xf numFmtId="180" fontId="25" fillId="0" borderId="8" xfId="11" applyNumberFormat="1" applyFont="1" applyFill="1" applyBorder="1" applyAlignment="1">
      <alignment horizontal="center"/>
    </xf>
    <xf numFmtId="182" fontId="22" fillId="0" borderId="0" xfId="1" applyNumberFormat="1" applyFont="1" applyFill="1" applyBorder="1" applyAlignment="1">
      <alignment horizontal="right"/>
    </xf>
    <xf numFmtId="167" fontId="23" fillId="0" borderId="0" xfId="1" applyFont="1" applyFill="1" applyBorder="1" applyAlignment="1">
      <alignment horizontal="right" wrapText="1"/>
    </xf>
    <xf numFmtId="188" fontId="23" fillId="0" borderId="0" xfId="11" applyNumberFormat="1" applyFont="1" applyFill="1" applyBorder="1" applyAlignment="1">
      <alignment horizontal="right"/>
    </xf>
    <xf numFmtId="170" fontId="27" fillId="0" borderId="4" xfId="0" applyFont="1" applyBorder="1"/>
    <xf numFmtId="180" fontId="25" fillId="0" borderId="2" xfId="11" applyNumberFormat="1" applyFont="1" applyFill="1" applyBorder="1" applyAlignment="1">
      <alignment horizontal="center" vertical="center" wrapText="1"/>
    </xf>
    <xf numFmtId="167" fontId="29" fillId="0" borderId="4" xfId="1" applyFont="1" applyFill="1" applyBorder="1" applyAlignment="1">
      <alignment horizontal="right" vertical="center"/>
    </xf>
    <xf numFmtId="2" fontId="29" fillId="0" borderId="16" xfId="1" applyNumberFormat="1" applyFont="1" applyFill="1" applyBorder="1" applyAlignment="1">
      <alignment horizontal="right" vertical="center"/>
    </xf>
    <xf numFmtId="2" fontId="29" fillId="0" borderId="12" xfId="1" applyNumberFormat="1" applyFont="1" applyFill="1" applyBorder="1" applyAlignment="1">
      <alignment horizontal="right" vertical="center"/>
    </xf>
    <xf numFmtId="170" fontId="3" fillId="0" borderId="2" xfId="0" applyFont="1" applyBorder="1"/>
    <xf numFmtId="167" fontId="25" fillId="0" borderId="11" xfId="1" applyFont="1" applyFill="1" applyBorder="1" applyAlignment="1">
      <alignment vertical="center"/>
    </xf>
    <xf numFmtId="167" fontId="25" fillId="0" borderId="12" xfId="1" applyFont="1" applyFill="1" applyBorder="1" applyAlignment="1">
      <alignment vertical="center"/>
    </xf>
    <xf numFmtId="180" fontId="25" fillId="0" borderId="7" xfId="11" applyNumberFormat="1" applyFont="1" applyFill="1" applyBorder="1" applyAlignment="1"/>
    <xf numFmtId="180" fontId="25" fillId="0" borderId="10" xfId="11" applyNumberFormat="1" applyFont="1" applyFill="1" applyBorder="1" applyAlignment="1">
      <alignment horizontal="center"/>
    </xf>
    <xf numFmtId="180" fontId="3" fillId="0" borderId="0" xfId="0" applyNumberFormat="1" applyFont="1"/>
    <xf numFmtId="0" fontId="36" fillId="0" borderId="24" xfId="12" applyFont="1" applyBorder="1" applyAlignment="1">
      <alignment horizontal="center"/>
    </xf>
    <xf numFmtId="167" fontId="44" fillId="0" borderId="24" xfId="1" applyFont="1" applyFill="1" applyBorder="1" applyAlignment="1">
      <alignment horizontal="right"/>
    </xf>
    <xf numFmtId="167" fontId="44" fillId="0" borderId="14" xfId="1" applyFont="1" applyFill="1" applyBorder="1" applyAlignment="1">
      <alignment horizontal="right"/>
    </xf>
    <xf numFmtId="170" fontId="27" fillId="0" borderId="0" xfId="0" applyFont="1" applyBorder="1" applyAlignment="1">
      <alignment horizontal="left"/>
    </xf>
    <xf numFmtId="167" fontId="43" fillId="0" borderId="16" xfId="1" applyFont="1" applyFill="1" applyBorder="1"/>
    <xf numFmtId="192" fontId="26" fillId="0" borderId="0" xfId="1" applyNumberFormat="1" applyFont="1" applyBorder="1"/>
    <xf numFmtId="170" fontId="3" fillId="0" borderId="0" xfId="0" applyFont="1" applyBorder="1"/>
    <xf numFmtId="193" fontId="23" fillId="0" borderId="0" xfId="11" applyNumberFormat="1" applyFont="1" applyFill="1" applyBorder="1" applyAlignment="1">
      <alignment horizontal="right"/>
    </xf>
    <xf numFmtId="184" fontId="26" fillId="0" borderId="0" xfId="11" applyNumberFormat="1" applyFont="1" applyBorder="1"/>
    <xf numFmtId="180" fontId="25" fillId="0" borderId="0" xfId="11" applyNumberFormat="1" applyFont="1" applyBorder="1" applyAlignment="1">
      <alignment horizontal="center"/>
    </xf>
    <xf numFmtId="170" fontId="20" fillId="0" borderId="0" xfId="0" applyFont="1" applyBorder="1"/>
    <xf numFmtId="170" fontId="20" fillId="0" borderId="16" xfId="0" applyFont="1" applyBorder="1"/>
    <xf numFmtId="183" fontId="3" fillId="0" borderId="0" xfId="1" applyNumberFormat="1" applyFont="1" applyFill="1" applyBorder="1" applyAlignment="1">
      <alignment horizontal="left" vertical="center"/>
    </xf>
    <xf numFmtId="167" fontId="3" fillId="0" borderId="16" xfId="1" applyFont="1" applyFill="1" applyBorder="1" applyAlignment="1">
      <alignment horizontal="left"/>
    </xf>
    <xf numFmtId="167" fontId="3" fillId="0" borderId="16" xfId="1" applyFont="1" applyFill="1" applyBorder="1" applyAlignment="1">
      <alignment horizontal="right"/>
    </xf>
    <xf numFmtId="170" fontId="3" fillId="0" borderId="0" xfId="0" applyFont="1" applyBorder="1" applyAlignment="1">
      <alignment horizontal="left"/>
    </xf>
    <xf numFmtId="167" fontId="3" fillId="0" borderId="0" xfId="1" applyFont="1" applyFill="1" applyBorder="1"/>
    <xf numFmtId="167" fontId="3" fillId="0" borderId="16" xfId="1" applyFont="1" applyFill="1" applyBorder="1"/>
    <xf numFmtId="170" fontId="3" fillId="0" borderId="0" xfId="0" applyFont="1" applyBorder="1" applyAlignment="1">
      <alignment horizontal="center"/>
    </xf>
    <xf numFmtId="180" fontId="26" fillId="0" borderId="23" xfId="11" applyNumberFormat="1" applyFont="1" applyBorder="1"/>
    <xf numFmtId="180" fontId="26" fillId="0" borderId="8" xfId="11" applyNumberFormat="1" applyFont="1" applyBorder="1"/>
    <xf numFmtId="167" fontId="3" fillId="0" borderId="23" xfId="1" applyFont="1" applyFill="1" applyBorder="1"/>
    <xf numFmtId="180" fontId="26" fillId="0" borderId="0" xfId="11" applyNumberFormat="1" applyFont="1" applyBorder="1" applyAlignment="1">
      <alignment horizontal="right"/>
    </xf>
    <xf numFmtId="1" fontId="22" fillId="0" borderId="11" xfId="11" applyNumberFormat="1" applyFont="1" applyBorder="1"/>
    <xf numFmtId="0" fontId="23" fillId="0" borderId="15" xfId="12" applyFont="1" applyBorder="1" applyAlignment="1">
      <alignment horizontal="left"/>
    </xf>
    <xf numFmtId="0" fontId="23" fillId="0" borderId="15" xfId="12" applyFont="1" applyBorder="1" applyAlignment="1">
      <alignment horizontal="center"/>
    </xf>
    <xf numFmtId="167" fontId="23" fillId="0" borderId="15" xfId="1" applyFont="1" applyFill="1" applyBorder="1" applyAlignment="1">
      <alignment horizontal="center"/>
    </xf>
    <xf numFmtId="167" fontId="3" fillId="0" borderId="0" xfId="1" applyFont="1" applyAlignment="1">
      <alignment horizontal="right"/>
    </xf>
    <xf numFmtId="170" fontId="3" fillId="0" borderId="0" xfId="0" applyFont="1" applyAlignment="1">
      <alignment horizontal="right"/>
    </xf>
    <xf numFmtId="194" fontId="26" fillId="0" borderId="0" xfId="11" applyNumberFormat="1" applyFont="1" applyFill="1" applyBorder="1"/>
    <xf numFmtId="180" fontId="28" fillId="0" borderId="15" xfId="11" applyNumberFormat="1" applyFont="1" applyFill="1" applyBorder="1" applyAlignment="1">
      <alignment horizontal="center" vertical="center"/>
    </xf>
    <xf numFmtId="180" fontId="29" fillId="0" borderId="15" xfId="11" applyNumberFormat="1" applyFont="1" applyFill="1" applyBorder="1" applyAlignment="1">
      <alignment horizontal="center" vertical="center"/>
    </xf>
    <xf numFmtId="167" fontId="22" fillId="0" borderId="15" xfId="1" applyFont="1" applyFill="1" applyBorder="1" applyAlignment="1">
      <alignment horizontal="right" vertical="center" wrapText="1"/>
    </xf>
    <xf numFmtId="167" fontId="22" fillId="0" borderId="12" xfId="1" applyFont="1" applyFill="1" applyBorder="1" applyAlignment="1">
      <alignment horizontal="right" vertical="center" wrapText="1"/>
    </xf>
    <xf numFmtId="167" fontId="29" fillId="0" borderId="0" xfId="1" applyFont="1" applyFill="1" applyBorder="1" applyAlignment="1">
      <alignment horizontal="center" vertical="center" wrapText="1"/>
    </xf>
    <xf numFmtId="184" fontId="26" fillId="0" borderId="0" xfId="11" applyNumberFormat="1" applyFont="1"/>
    <xf numFmtId="1" fontId="22" fillId="0" borderId="13" xfId="11" applyNumberFormat="1" applyFont="1" applyBorder="1"/>
    <xf numFmtId="180" fontId="22" fillId="0" borderId="15" xfId="11" applyNumberFormat="1" applyFont="1" applyBorder="1" applyAlignment="1">
      <alignment horizontal="left"/>
    </xf>
    <xf numFmtId="180" fontId="25" fillId="0" borderId="15" xfId="11" applyNumberFormat="1" applyFont="1" applyBorder="1" applyAlignment="1">
      <alignment horizontal="center"/>
    </xf>
    <xf numFmtId="167" fontId="26" fillId="0" borderId="15" xfId="1" applyFont="1" applyBorder="1" applyAlignment="1">
      <alignment horizontal="right"/>
    </xf>
    <xf numFmtId="167" fontId="26" fillId="0" borderId="14" xfId="1" applyFont="1" applyBorder="1" applyAlignment="1">
      <alignment horizontal="right"/>
    </xf>
    <xf numFmtId="167" fontId="25" fillId="0" borderId="0" xfId="1" applyFont="1" applyBorder="1" applyAlignment="1">
      <alignment horizontal="right"/>
    </xf>
    <xf numFmtId="1" fontId="22" fillId="0" borderId="4" xfId="11" applyNumberFormat="1" applyFont="1" applyBorder="1"/>
    <xf numFmtId="0" fontId="22" fillId="0" borderId="0" xfId="11" applyNumberFormat="1" applyFont="1" applyBorder="1" applyAlignment="1">
      <alignment vertical="center"/>
    </xf>
    <xf numFmtId="167" fontId="26" fillId="0" borderId="0" xfId="1" applyFont="1" applyBorder="1" applyAlignment="1">
      <alignment horizontal="right"/>
    </xf>
    <xf numFmtId="167" fontId="26" fillId="0" borderId="16" xfId="1" applyFont="1" applyBorder="1" applyAlignment="1">
      <alignment horizontal="right"/>
    </xf>
    <xf numFmtId="194" fontId="26" fillId="0" borderId="0" xfId="11" applyNumberFormat="1" applyFont="1" applyBorder="1" applyAlignment="1">
      <alignment vertical="center"/>
    </xf>
    <xf numFmtId="167" fontId="22" fillId="0" borderId="0" xfId="1" applyFont="1" applyBorder="1" applyAlignment="1">
      <alignment vertical="center" wrapText="1"/>
    </xf>
    <xf numFmtId="167" fontId="25" fillId="0" borderId="0" xfId="1" applyFont="1" applyBorder="1" applyAlignment="1">
      <alignment horizontal="center"/>
    </xf>
    <xf numFmtId="167" fontId="26" fillId="0" borderId="0" xfId="1" applyFont="1" applyBorder="1" applyAlignment="1">
      <alignment vertical="center" wrapText="1"/>
    </xf>
    <xf numFmtId="167" fontId="25" fillId="0" borderId="0" xfId="1" applyFont="1" applyBorder="1" applyAlignment="1">
      <alignment horizontal="left"/>
    </xf>
    <xf numFmtId="167" fontId="26" fillId="0" borderId="0" xfId="1" applyFont="1" applyBorder="1" applyAlignment="1">
      <alignment vertical="center"/>
    </xf>
    <xf numFmtId="167" fontId="25" fillId="0" borderId="0" xfId="1" applyFont="1" applyBorder="1"/>
    <xf numFmtId="167" fontId="25" fillId="0" borderId="16" xfId="1" applyFont="1" applyBorder="1"/>
    <xf numFmtId="167" fontId="25" fillId="0" borderId="23" xfId="1" applyFont="1" applyBorder="1"/>
    <xf numFmtId="167" fontId="25" fillId="0" borderId="8" xfId="1" applyFont="1" applyBorder="1"/>
    <xf numFmtId="167" fontId="25" fillId="0" borderId="24" xfId="1" applyFont="1" applyBorder="1"/>
    <xf numFmtId="167" fontId="26" fillId="0" borderId="0" xfId="1" applyFont="1" applyBorder="1"/>
    <xf numFmtId="167" fontId="26" fillId="0" borderId="16" xfId="1" applyFont="1" applyBorder="1"/>
    <xf numFmtId="195" fontId="26" fillId="0" borderId="0" xfId="11" applyNumberFormat="1" applyFont="1" applyFill="1"/>
    <xf numFmtId="182" fontId="25" fillId="0" borderId="0" xfId="1" applyNumberFormat="1" applyFont="1"/>
    <xf numFmtId="167" fontId="26" fillId="0" borderId="0" xfId="1" applyFont="1" applyFill="1" applyBorder="1" applyAlignment="1">
      <alignment vertical="center" wrapText="1"/>
    </xf>
    <xf numFmtId="167" fontId="26" fillId="0" borderId="0" xfId="1" applyFont="1" applyFill="1" applyBorder="1" applyAlignment="1">
      <alignment vertical="center"/>
    </xf>
    <xf numFmtId="167" fontId="26" fillId="0" borderId="0" xfId="1" applyFont="1" applyBorder="1" applyAlignment="1">
      <alignment horizontal="left" wrapText="1" indent="6"/>
    </xf>
    <xf numFmtId="167" fontId="43" fillId="0" borderId="0" xfId="1" applyFont="1" applyBorder="1" applyAlignment="1">
      <alignment vertical="center"/>
    </xf>
    <xf numFmtId="196" fontId="26" fillId="0" borderId="0" xfId="1" applyNumberFormat="1" applyFont="1"/>
    <xf numFmtId="167" fontId="25" fillId="0" borderId="25" xfId="1" applyFont="1" applyBorder="1"/>
    <xf numFmtId="167" fontId="25" fillId="0" borderId="19" xfId="1" applyFont="1" applyBorder="1"/>
    <xf numFmtId="167" fontId="29" fillId="0" borderId="16" xfId="1" applyFont="1" applyBorder="1"/>
    <xf numFmtId="167" fontId="29" fillId="0" borderId="0" xfId="0" applyNumberFormat="1" applyFont="1"/>
    <xf numFmtId="186" fontId="45" fillId="0" borderId="0" xfId="11" applyNumberFormat="1" applyFont="1"/>
    <xf numFmtId="1" fontId="22" fillId="0" borderId="4" xfId="11" applyNumberFormat="1" applyFont="1" applyBorder="1" applyAlignment="1">
      <alignment horizontal="right"/>
    </xf>
    <xf numFmtId="167" fontId="22" fillId="0" borderId="23" xfId="1" applyFont="1" applyFill="1" applyBorder="1" applyAlignment="1">
      <alignment horizontal="left"/>
    </xf>
    <xf numFmtId="167" fontId="26" fillId="0" borderId="0" xfId="1" applyFont="1" applyBorder="1" applyAlignment="1">
      <alignment wrapText="1"/>
    </xf>
    <xf numFmtId="167" fontId="29" fillId="0" borderId="25" xfId="1" applyFont="1" applyBorder="1"/>
    <xf numFmtId="167" fontId="29" fillId="0" borderId="19" xfId="1" applyFont="1" applyBorder="1"/>
    <xf numFmtId="167" fontId="26" fillId="0" borderId="0" xfId="1" applyFont="1" applyFill="1" applyBorder="1" applyAlignment="1">
      <alignment horizontal="left"/>
    </xf>
    <xf numFmtId="167" fontId="25" fillId="0" borderId="0" xfId="1" applyFont="1"/>
    <xf numFmtId="186" fontId="26" fillId="0" borderId="0" xfId="11" applyNumberFormat="1" applyFont="1"/>
    <xf numFmtId="167" fontId="22" fillId="0" borderId="0" xfId="1" applyFont="1" applyFill="1" applyBorder="1" applyAlignment="1">
      <alignment horizontal="left"/>
    </xf>
    <xf numFmtId="167" fontId="25" fillId="0" borderId="14" xfId="1" applyFont="1" applyBorder="1"/>
    <xf numFmtId="1" fontId="22" fillId="0" borderId="4" xfId="11" applyNumberFormat="1" applyFont="1" applyFill="1" applyBorder="1"/>
    <xf numFmtId="167" fontId="26" fillId="0" borderId="0" xfId="1" applyFont="1" applyFill="1" applyBorder="1" applyAlignment="1"/>
    <xf numFmtId="167" fontId="25" fillId="0" borderId="0" xfId="1" applyFont="1" applyFill="1" applyBorder="1" applyAlignment="1">
      <alignment horizontal="center"/>
    </xf>
    <xf numFmtId="167" fontId="25" fillId="0" borderId="16" xfId="1" applyFont="1" applyFill="1" applyBorder="1"/>
    <xf numFmtId="167" fontId="26" fillId="0" borderId="0" xfId="1" applyFont="1" applyFill="1" applyBorder="1" applyAlignment="1">
      <alignment horizontal="left" indent="2"/>
    </xf>
    <xf numFmtId="167" fontId="29" fillId="0" borderId="0" xfId="1" applyFont="1"/>
    <xf numFmtId="167" fontId="26" fillId="0" borderId="0" xfId="1" applyFont="1" applyBorder="1" applyAlignment="1">
      <alignment horizontal="left"/>
    </xf>
    <xf numFmtId="197" fontId="26" fillId="0" borderId="0" xfId="11" applyNumberFormat="1" applyFont="1" applyBorder="1"/>
    <xf numFmtId="167" fontId="29" fillId="0" borderId="21" xfId="1" applyFont="1" applyBorder="1"/>
    <xf numFmtId="167" fontId="29" fillId="0" borderId="22" xfId="1" applyFont="1" applyBorder="1"/>
    <xf numFmtId="167" fontId="22" fillId="0" borderId="23" xfId="1" applyFont="1" applyBorder="1" applyAlignment="1">
      <alignment horizontal="left"/>
    </xf>
    <xf numFmtId="167" fontId="25" fillId="0" borderId="0" xfId="1" applyFont="1" applyFill="1" applyBorder="1" applyAlignment="1">
      <alignment horizontal="right"/>
    </xf>
    <xf numFmtId="189" fontId="26" fillId="0" borderId="0" xfId="11" applyNumberFormat="1" applyFont="1" applyBorder="1"/>
    <xf numFmtId="198" fontId="26" fillId="0" borderId="0" xfId="11" applyNumberFormat="1" applyFont="1"/>
    <xf numFmtId="167" fontId="29" fillId="0" borderId="25" xfId="1" applyFont="1" applyFill="1" applyBorder="1" applyAlignment="1">
      <alignment horizontal="right"/>
    </xf>
    <xf numFmtId="167" fontId="29" fillId="0" borderId="19" xfId="1" applyFont="1" applyFill="1" applyBorder="1" applyAlignment="1">
      <alignment horizontal="right"/>
    </xf>
    <xf numFmtId="167" fontId="25" fillId="0" borderId="0" xfId="11" applyNumberFormat="1" applyFont="1" applyBorder="1" applyAlignment="1">
      <alignment horizontal="right"/>
    </xf>
    <xf numFmtId="185" fontId="26" fillId="0" borderId="0" xfId="11" applyNumberFormat="1" applyFont="1" applyFill="1"/>
    <xf numFmtId="199" fontId="25" fillId="0" borderId="0" xfId="0" applyNumberFormat="1" applyFont="1"/>
    <xf numFmtId="180" fontId="46" fillId="0" borderId="0" xfId="11" applyNumberFormat="1" applyFont="1" applyBorder="1"/>
    <xf numFmtId="167" fontId="25" fillId="0" borderId="0" xfId="1" applyNumberFormat="1" applyFont="1" applyBorder="1" applyAlignment="1">
      <alignment horizontal="right"/>
    </xf>
    <xf numFmtId="180" fontId="47" fillId="0" borderId="0" xfId="11" applyNumberFormat="1" applyFont="1" applyBorder="1"/>
    <xf numFmtId="167" fontId="22" fillId="0" borderId="0" xfId="1" applyFont="1" applyBorder="1" applyAlignment="1"/>
    <xf numFmtId="1" fontId="22" fillId="0" borderId="7" xfId="11" applyNumberFormat="1" applyFont="1" applyBorder="1"/>
    <xf numFmtId="167" fontId="26" fillId="0" borderId="23" xfId="1" applyFont="1" applyBorder="1" applyAlignment="1">
      <alignment horizontal="left"/>
    </xf>
    <xf numFmtId="167" fontId="25" fillId="0" borderId="23" xfId="1" applyFont="1" applyBorder="1" applyAlignment="1">
      <alignment horizontal="center"/>
    </xf>
    <xf numFmtId="167" fontId="29" fillId="0" borderId="23" xfId="1" applyFont="1" applyBorder="1"/>
    <xf numFmtId="167" fontId="29" fillId="0" borderId="8" xfId="1" applyFont="1" applyBorder="1"/>
    <xf numFmtId="167" fontId="22" fillId="0" borderId="15" xfId="1" applyFont="1" applyBorder="1" applyAlignment="1">
      <alignment horizontal="left"/>
    </xf>
    <xf numFmtId="167" fontId="25" fillId="0" borderId="24" xfId="1" applyFont="1" applyBorder="1" applyAlignment="1">
      <alignment horizontal="center"/>
    </xf>
    <xf numFmtId="167" fontId="29" fillId="0" borderId="24" xfId="1" applyFont="1" applyBorder="1"/>
    <xf numFmtId="167" fontId="29" fillId="0" borderId="14" xfId="1" applyFont="1" applyBorder="1"/>
    <xf numFmtId="167" fontId="26" fillId="10" borderId="0" xfId="1" applyFont="1" applyFill="1" applyBorder="1" applyAlignment="1">
      <alignment horizontal="left"/>
    </xf>
    <xf numFmtId="167" fontId="25" fillId="10" borderId="0" xfId="1" applyFont="1" applyFill="1" applyBorder="1" applyAlignment="1">
      <alignment horizontal="center"/>
    </xf>
    <xf numFmtId="167" fontId="26" fillId="0" borderId="0" xfId="1" applyFont="1" applyBorder="1" applyAlignment="1"/>
    <xf numFmtId="180" fontId="22" fillId="0" borderId="0" xfId="11" applyNumberFormat="1" applyFont="1" applyBorder="1"/>
    <xf numFmtId="167" fontId="26" fillId="0" borderId="0" xfId="1" applyFont="1" applyFill="1" applyBorder="1" applyAlignment="1">
      <alignment horizontal="left" vertical="center" wrapText="1"/>
    </xf>
    <xf numFmtId="200" fontId="26" fillId="0" borderId="0" xfId="1" applyNumberFormat="1" applyFont="1"/>
    <xf numFmtId="2" fontId="26" fillId="0" borderId="0" xfId="11" applyNumberFormat="1" applyFont="1" applyBorder="1"/>
    <xf numFmtId="2" fontId="26" fillId="0" borderId="0" xfId="11" applyNumberFormat="1" applyFont="1" applyFill="1" applyBorder="1"/>
    <xf numFmtId="2" fontId="48" fillId="0" borderId="0" xfId="0" applyNumberFormat="1" applyFont="1"/>
    <xf numFmtId="201" fontId="26" fillId="0" borderId="0" xfId="11" applyNumberFormat="1" applyFont="1"/>
    <xf numFmtId="2" fontId="3" fillId="0" borderId="0" xfId="0" applyNumberFormat="1" applyFont="1" applyAlignment="1">
      <alignment horizontal="left"/>
    </xf>
    <xf numFmtId="2" fontId="3" fillId="0" borderId="0" xfId="0" applyNumberFormat="1" applyFont="1" applyAlignment="1">
      <alignment horizontal="left" wrapText="1"/>
    </xf>
    <xf numFmtId="167" fontId="38" fillId="0" borderId="24" xfId="1" applyFont="1" applyBorder="1" applyAlignment="1">
      <alignment horizontal="center"/>
    </xf>
    <xf numFmtId="167" fontId="22" fillId="0" borderId="24" xfId="1" applyFont="1" applyFill="1" applyBorder="1" applyAlignment="1">
      <alignment horizontal="right" vertical="center" wrapText="1"/>
    </xf>
    <xf numFmtId="167" fontId="22" fillId="0" borderId="14" xfId="1" applyFont="1" applyFill="1" applyBorder="1" applyAlignment="1">
      <alignment horizontal="right" vertical="center" wrapText="1"/>
    </xf>
    <xf numFmtId="167" fontId="22" fillId="0" borderId="0" xfId="1" applyFont="1" applyBorder="1" applyAlignment="1">
      <alignment horizontal="left"/>
    </xf>
    <xf numFmtId="187" fontId="25" fillId="0" borderId="0" xfId="0" applyNumberFormat="1" applyFont="1"/>
    <xf numFmtId="200" fontId="22" fillId="0" borderId="0" xfId="1" applyNumberFormat="1" applyFont="1" applyBorder="1" applyAlignment="1">
      <alignment horizontal="right"/>
    </xf>
    <xf numFmtId="182" fontId="26" fillId="0" borderId="0" xfId="1" applyNumberFormat="1" applyFont="1" applyFill="1"/>
    <xf numFmtId="198" fontId="26" fillId="0" borderId="0" xfId="11" applyNumberFormat="1" applyFont="1" applyFill="1"/>
    <xf numFmtId="167" fontId="25" fillId="0" borderId="22" xfId="1" applyFont="1" applyBorder="1"/>
    <xf numFmtId="167" fontId="22" fillId="0" borderId="0" xfId="1" applyFont="1" applyBorder="1" applyAlignment="1">
      <alignment horizontal="left" indent="2"/>
    </xf>
    <xf numFmtId="167" fontId="22" fillId="0" borderId="0" xfId="1" applyFont="1" applyBorder="1" applyAlignment="1">
      <alignment horizontal="left" indent="3"/>
    </xf>
    <xf numFmtId="167" fontId="26" fillId="0" borderId="0" xfId="1" applyFont="1" applyFill="1" applyBorder="1" applyAlignment="1">
      <alignment horizontal="left" wrapText="1" indent="5"/>
    </xf>
    <xf numFmtId="167" fontId="26" fillId="0" borderId="0" xfId="1" applyFont="1" applyBorder="1" applyAlignment="1">
      <alignment horizontal="left" wrapText="1" indent="5"/>
    </xf>
    <xf numFmtId="167" fontId="25" fillId="0" borderId="0" xfId="1" applyFont="1" applyBorder="1" applyAlignment="1">
      <alignment horizontal="left" wrapText="1" indent="4"/>
    </xf>
    <xf numFmtId="167" fontId="25" fillId="0" borderId="0" xfId="1" applyFont="1" applyFill="1" applyBorder="1" applyAlignment="1">
      <alignment horizontal="left" wrapText="1" indent="4"/>
    </xf>
    <xf numFmtId="167" fontId="49" fillId="0" borderId="0" xfId="1" applyFont="1" applyFill="1" applyBorder="1" applyAlignment="1">
      <alignment horizontal="right"/>
    </xf>
    <xf numFmtId="202" fontId="3" fillId="0" borderId="0" xfId="0" applyNumberFormat="1" applyFont="1"/>
    <xf numFmtId="167" fontId="3" fillId="0" borderId="16" xfId="1" applyFont="1" applyBorder="1"/>
    <xf numFmtId="167" fontId="43" fillId="0" borderId="0" xfId="1" applyFont="1" applyFill="1" applyBorder="1" applyAlignment="1">
      <alignment horizontal="right"/>
    </xf>
    <xf numFmtId="167" fontId="26" fillId="0" borderId="23" xfId="1" applyFont="1" applyFill="1" applyBorder="1" applyAlignment="1">
      <alignment horizontal="left"/>
    </xf>
    <xf numFmtId="167" fontId="25" fillId="0" borderId="23" xfId="1" applyFont="1" applyFill="1" applyBorder="1" applyAlignment="1">
      <alignment horizontal="center"/>
    </xf>
    <xf numFmtId="167" fontId="3" fillId="0" borderId="23" xfId="1" applyFont="1" applyBorder="1"/>
    <xf numFmtId="167" fontId="3" fillId="0" borderId="8" xfId="1" applyFont="1" applyBorder="1"/>
    <xf numFmtId="1" fontId="29" fillId="0" borderId="13" xfId="11" applyNumberFormat="1" applyFont="1" applyBorder="1"/>
    <xf numFmtId="167" fontId="29" fillId="0" borderId="15" xfId="1" applyFont="1" applyFill="1" applyBorder="1" applyAlignment="1">
      <alignment horizontal="left"/>
    </xf>
    <xf numFmtId="167" fontId="25" fillId="0" borderId="24" xfId="1" applyFont="1" applyFill="1" applyBorder="1" applyAlignment="1">
      <alignment horizontal="center"/>
    </xf>
    <xf numFmtId="167" fontId="3" fillId="0" borderId="24" xfId="1" applyFont="1" applyBorder="1"/>
    <xf numFmtId="167" fontId="3" fillId="0" borderId="14" xfId="1" applyFont="1" applyBorder="1"/>
    <xf numFmtId="1" fontId="29" fillId="0" borderId="4" xfId="11" applyNumberFormat="1" applyFont="1" applyBorder="1"/>
    <xf numFmtId="167" fontId="25" fillId="0" borderId="0" xfId="1" applyFont="1" applyFill="1" applyBorder="1" applyAlignment="1">
      <alignment horizontal="left" indent="2"/>
    </xf>
    <xf numFmtId="167" fontId="25" fillId="0" borderId="0" xfId="1" applyFont="1" applyBorder="1" applyAlignment="1"/>
    <xf numFmtId="167" fontId="25" fillId="0" borderId="0" xfId="1" applyFont="1" applyFill="1" applyBorder="1" applyAlignment="1">
      <alignment horizontal="left"/>
    </xf>
    <xf numFmtId="167" fontId="29" fillId="0" borderId="23" xfId="1" applyFont="1" applyFill="1" applyBorder="1" applyAlignment="1">
      <alignment horizontal="left"/>
    </xf>
    <xf numFmtId="167" fontId="29" fillId="0" borderId="0" xfId="1" applyFont="1" applyFill="1" applyBorder="1" applyAlignment="1"/>
    <xf numFmtId="1" fontId="29" fillId="0" borderId="4" xfId="11" applyNumberFormat="1" applyFont="1" applyBorder="1" applyAlignment="1"/>
    <xf numFmtId="167" fontId="29" fillId="0" borderId="0" xfId="0" applyNumberFormat="1" applyFont="1" applyAlignment="1"/>
    <xf numFmtId="180" fontId="26" fillId="0" borderId="0" xfId="11" applyNumberFormat="1" applyFont="1" applyBorder="1" applyAlignment="1"/>
    <xf numFmtId="2" fontId="26" fillId="0" borderId="0" xfId="11" applyNumberFormat="1" applyFont="1" applyAlignment="1"/>
    <xf numFmtId="2" fontId="26" fillId="0" borderId="0" xfId="11" applyNumberFormat="1" applyFont="1" applyFill="1" applyAlignment="1"/>
    <xf numFmtId="180" fontId="26" fillId="0" borderId="0" xfId="11" applyNumberFormat="1" applyFont="1" applyFill="1" applyAlignment="1"/>
    <xf numFmtId="180" fontId="26" fillId="0" borderId="0" xfId="11" applyNumberFormat="1" applyFont="1" applyAlignment="1"/>
    <xf numFmtId="170" fontId="3" fillId="0" borderId="0" xfId="0" applyFont="1" applyAlignment="1"/>
    <xf numFmtId="1" fontId="29" fillId="0" borderId="4" xfId="11" applyNumberFormat="1" applyFont="1" applyFill="1" applyBorder="1"/>
    <xf numFmtId="1" fontId="29" fillId="0" borderId="4" xfId="11" applyNumberFormat="1" applyFont="1" applyBorder="1" applyAlignment="1">
      <alignment horizontal="right"/>
    </xf>
    <xf numFmtId="167" fontId="29" fillId="0" borderId="23" xfId="1" applyFont="1" applyBorder="1" applyAlignment="1">
      <alignment horizontal="left"/>
    </xf>
    <xf numFmtId="167" fontId="25" fillId="0" borderId="0" xfId="1" applyFont="1" applyBorder="1" applyAlignment="1">
      <alignment horizontal="left" indent="2"/>
    </xf>
    <xf numFmtId="186" fontId="26" fillId="0" borderId="0" xfId="11" applyNumberFormat="1" applyFont="1" applyFill="1"/>
    <xf numFmtId="167" fontId="25" fillId="0" borderId="24" xfId="1" applyFont="1" applyBorder="1" applyAlignment="1">
      <alignment horizontal="right"/>
    </xf>
    <xf numFmtId="167" fontId="25" fillId="0" borderId="14" xfId="1" applyFont="1" applyBorder="1" applyAlignment="1">
      <alignment horizontal="right"/>
    </xf>
    <xf numFmtId="167" fontId="25" fillId="0" borderId="16" xfId="1" applyFont="1" applyBorder="1" applyAlignment="1">
      <alignment horizontal="right"/>
    </xf>
    <xf numFmtId="1" fontId="29" fillId="0" borderId="7" xfId="11" applyNumberFormat="1" applyFont="1" applyBorder="1"/>
    <xf numFmtId="167" fontId="25" fillId="0" borderId="23" xfId="1" applyFont="1" applyBorder="1" applyAlignment="1">
      <alignment horizontal="left"/>
    </xf>
    <xf numFmtId="167" fontId="25" fillId="0" borderId="23" xfId="1" applyFont="1" applyBorder="1" applyAlignment="1">
      <alignment horizontal="right"/>
    </xf>
    <xf numFmtId="167" fontId="25" fillId="0" borderId="8" xfId="1" applyFont="1" applyBorder="1" applyAlignment="1">
      <alignment horizontal="right"/>
    </xf>
    <xf numFmtId="167" fontId="26" fillId="0" borderId="24" xfId="1" applyFont="1" applyBorder="1" applyAlignment="1">
      <alignment horizontal="right"/>
    </xf>
    <xf numFmtId="167" fontId="26" fillId="0" borderId="0" xfId="1" applyFont="1" applyBorder="1" applyAlignment="1">
      <alignment horizontal="left" indent="2"/>
    </xf>
    <xf numFmtId="0" fontId="26" fillId="0" borderId="0" xfId="12" applyFont="1"/>
    <xf numFmtId="167" fontId="26" fillId="0" borderId="16" xfId="1" applyFont="1" applyBorder="1" applyAlignment="1">
      <alignment wrapText="1"/>
    </xf>
    <xf numFmtId="167" fontId="25" fillId="0" borderId="0" xfId="1" applyFont="1" applyBorder="1" applyAlignment="1">
      <alignment wrapText="1"/>
    </xf>
    <xf numFmtId="0" fontId="25" fillId="0" borderId="0" xfId="11" applyNumberFormat="1" applyFont="1" applyBorder="1" applyAlignment="1">
      <alignment wrapText="1"/>
    </xf>
    <xf numFmtId="0" fontId="26" fillId="0" borderId="0" xfId="11" applyNumberFormat="1" applyFont="1" applyBorder="1" applyAlignment="1">
      <alignment wrapText="1"/>
    </xf>
    <xf numFmtId="2" fontId="3" fillId="0" borderId="0" xfId="11" applyNumberFormat="1" applyFont="1" applyFill="1"/>
    <xf numFmtId="167" fontId="22" fillId="0" borderId="23" xfId="1" applyFont="1" applyBorder="1" applyAlignment="1"/>
    <xf numFmtId="2" fontId="3" fillId="0" borderId="0" xfId="11" applyNumberFormat="1" applyFont="1"/>
    <xf numFmtId="167" fontId="3" fillId="0" borderId="0" xfId="0" applyNumberFormat="1" applyFont="1"/>
    <xf numFmtId="167" fontId="25" fillId="0" borderId="26" xfId="1" applyFont="1" applyBorder="1"/>
    <xf numFmtId="1" fontId="29" fillId="0" borderId="13" xfId="11" applyNumberFormat="1" applyFont="1" applyFill="1" applyBorder="1"/>
    <xf numFmtId="167" fontId="38" fillId="0" borderId="27" xfId="1" applyFont="1" applyBorder="1" applyAlignment="1">
      <alignment vertical="center"/>
    </xf>
    <xf numFmtId="167" fontId="3" fillId="0" borderId="28" xfId="1" applyFont="1" applyBorder="1" applyAlignment="1">
      <alignment horizontal="right"/>
    </xf>
    <xf numFmtId="167" fontId="40" fillId="0" borderId="29" xfId="1" applyFont="1" applyFill="1" applyBorder="1" applyAlignment="1">
      <alignment horizontal="center" vertical="center"/>
    </xf>
    <xf numFmtId="167" fontId="29" fillId="0" borderId="29" xfId="1" applyFont="1" applyFill="1" applyBorder="1" applyAlignment="1">
      <alignment horizontal="center" vertical="center"/>
    </xf>
    <xf numFmtId="167" fontId="29" fillId="0" borderId="29" xfId="1" applyFont="1" applyFill="1" applyBorder="1" applyAlignment="1">
      <alignment horizontal="right" vertical="center"/>
    </xf>
    <xf numFmtId="167" fontId="29" fillId="0" borderId="30" xfId="1" applyFont="1" applyFill="1" applyBorder="1" applyAlignment="1">
      <alignment horizontal="right" vertical="center" wrapText="1"/>
    </xf>
    <xf numFmtId="167" fontId="29" fillId="0" borderId="23" xfId="1" applyFont="1" applyFill="1" applyBorder="1"/>
    <xf numFmtId="167" fontId="25" fillId="0" borderId="14" xfId="1" applyFont="1" applyFill="1" applyBorder="1" applyAlignment="1">
      <alignment horizontal="right"/>
    </xf>
    <xf numFmtId="167" fontId="25" fillId="0" borderId="0" xfId="1" applyFont="1" applyFill="1" applyBorder="1" applyAlignment="1">
      <alignment horizontal="left" indent="1"/>
    </xf>
    <xf numFmtId="167" fontId="29" fillId="0" borderId="0" xfId="1" applyFont="1" applyFill="1" applyBorder="1" applyAlignment="1">
      <alignment horizontal="center"/>
    </xf>
    <xf numFmtId="167" fontId="29" fillId="0" borderId="15" xfId="1" applyFont="1" applyFill="1" applyBorder="1" applyAlignment="1">
      <alignment horizontal="right"/>
    </xf>
    <xf numFmtId="2" fontId="26" fillId="0" borderId="0" xfId="11" applyNumberFormat="1" applyFont="1" applyFill="1" applyAlignment="1">
      <alignment horizontal="right"/>
    </xf>
    <xf numFmtId="4" fontId="3" fillId="0" borderId="0" xfId="0" applyNumberFormat="1" applyFont="1"/>
    <xf numFmtId="167" fontId="29" fillId="0" borderId="0" xfId="1" applyFont="1" applyFill="1" applyBorder="1"/>
    <xf numFmtId="167" fontId="29" fillId="0" borderId="31" xfId="1" applyFont="1" applyFill="1" applyBorder="1" applyAlignment="1">
      <alignment horizontal="right"/>
    </xf>
    <xf numFmtId="167" fontId="29" fillId="0" borderId="32" xfId="1" applyFont="1" applyFill="1" applyBorder="1" applyAlignment="1">
      <alignment horizontal="right"/>
    </xf>
    <xf numFmtId="165" fontId="26" fillId="0" borderId="0" xfId="11" applyNumberFormat="1" applyFont="1"/>
    <xf numFmtId="1" fontId="22" fillId="0" borderId="0" xfId="11" applyNumberFormat="1" applyFont="1" applyBorder="1"/>
    <xf numFmtId="1" fontId="29" fillId="11" borderId="4" xfId="11" applyNumberFormat="1" applyFont="1" applyFill="1" applyBorder="1"/>
    <xf numFmtId="167" fontId="25" fillId="11" borderId="0" xfId="1" applyFont="1" applyFill="1" applyBorder="1" applyAlignment="1">
      <alignment horizontal="left" indent="2"/>
    </xf>
    <xf numFmtId="167" fontId="25" fillId="11" borderId="0" xfId="1" applyFont="1" applyFill="1" applyBorder="1" applyAlignment="1">
      <alignment horizontal="center"/>
    </xf>
    <xf numFmtId="167" fontId="25" fillId="11" borderId="0" xfId="1" applyFont="1" applyFill="1" applyBorder="1" applyAlignment="1">
      <alignment horizontal="right"/>
    </xf>
    <xf numFmtId="167" fontId="25" fillId="11" borderId="16" xfId="1" applyFont="1" applyFill="1" applyBorder="1" applyAlignment="1">
      <alignment horizontal="right"/>
    </xf>
    <xf numFmtId="167" fontId="3" fillId="11" borderId="0" xfId="1" applyFont="1" applyFill="1"/>
    <xf numFmtId="4" fontId="3" fillId="11" borderId="0" xfId="0" applyNumberFormat="1" applyFont="1" applyFill="1"/>
    <xf numFmtId="167" fontId="25" fillId="0" borderId="23" xfId="1" applyFont="1" applyFill="1" applyBorder="1" applyAlignment="1">
      <alignment horizontal="right"/>
    </xf>
    <xf numFmtId="1" fontId="29" fillId="0" borderId="4" xfId="11" applyNumberFormat="1" applyFont="1" applyFill="1" applyBorder="1" applyAlignment="1">
      <alignment horizontal="right"/>
    </xf>
    <xf numFmtId="167" fontId="25" fillId="0" borderId="0" xfId="1" applyFont="1" applyFill="1" applyBorder="1" applyAlignment="1">
      <alignment horizontal="center" vertical="center"/>
    </xf>
    <xf numFmtId="167" fontId="25" fillId="0" borderId="0" xfId="1" applyFont="1" applyFill="1" applyBorder="1" applyAlignment="1">
      <alignment horizontal="left" wrapText="1" indent="2"/>
    </xf>
    <xf numFmtId="1" fontId="26" fillId="0" borderId="0" xfId="11" applyNumberFormat="1" applyFont="1"/>
    <xf numFmtId="1" fontId="29" fillId="0" borderId="7" xfId="11" applyNumberFormat="1" applyFont="1" applyFill="1" applyBorder="1"/>
    <xf numFmtId="167" fontId="25" fillId="0" borderId="23" xfId="1" applyFont="1" applyFill="1" applyBorder="1"/>
    <xf numFmtId="43" fontId="3" fillId="0" borderId="0" xfId="0" applyNumberFormat="1" applyFont="1"/>
    <xf numFmtId="167" fontId="26" fillId="0" borderId="0" xfId="1" applyFont="1" applyFill="1" applyBorder="1" applyAlignment="1">
      <alignment wrapText="1"/>
    </xf>
    <xf numFmtId="167" fontId="26" fillId="0" borderId="16" xfId="1" applyFont="1" applyFill="1" applyBorder="1" applyAlignment="1">
      <alignment wrapText="1"/>
    </xf>
    <xf numFmtId="1" fontId="22" fillId="0" borderId="13" xfId="11" applyNumberFormat="1" applyFont="1" applyFill="1" applyBorder="1"/>
    <xf numFmtId="167" fontId="22" fillId="0" borderId="11" xfId="1" applyFont="1" applyFill="1" applyBorder="1"/>
    <xf numFmtId="167" fontId="25" fillId="0" borderId="15" xfId="1" applyFont="1" applyFill="1" applyBorder="1" applyAlignment="1">
      <alignment horizontal="center"/>
    </xf>
    <xf numFmtId="167" fontId="26" fillId="0" borderId="15" xfId="1" applyFont="1" applyFill="1" applyBorder="1" applyAlignment="1">
      <alignment horizontal="right"/>
    </xf>
    <xf numFmtId="167" fontId="26" fillId="0" borderId="12" xfId="1" applyFont="1" applyFill="1" applyBorder="1" applyAlignment="1">
      <alignment horizontal="right"/>
    </xf>
    <xf numFmtId="167" fontId="26" fillId="0" borderId="4" xfId="1" applyFont="1" applyFill="1" applyBorder="1" applyAlignment="1">
      <alignment horizontal="left" indent="2"/>
    </xf>
    <xf numFmtId="167" fontId="22" fillId="0" borderId="4" xfId="1" applyFont="1" applyFill="1" applyBorder="1" applyAlignment="1">
      <alignment horizontal="left"/>
    </xf>
    <xf numFmtId="167" fontId="26" fillId="0" borderId="4" xfId="1" applyFont="1" applyFill="1" applyBorder="1" applyAlignment="1">
      <alignment horizontal="left" wrapText="1" indent="2"/>
    </xf>
    <xf numFmtId="186" fontId="26" fillId="0" borderId="0" xfId="11" applyNumberFormat="1" applyFont="1" applyFill="1" applyAlignment="1">
      <alignment horizontal="right"/>
    </xf>
    <xf numFmtId="167" fontId="25" fillId="0" borderId="0" xfId="1" applyFont="1" applyFill="1" applyBorder="1" applyAlignment="1"/>
    <xf numFmtId="167" fontId="25" fillId="0" borderId="4" xfId="1" applyFont="1" applyFill="1" applyBorder="1" applyAlignment="1">
      <alignment horizontal="left" indent="2"/>
    </xf>
    <xf numFmtId="167" fontId="43" fillId="0" borderId="4" xfId="1" applyFont="1" applyFill="1" applyBorder="1" applyAlignment="1">
      <alignment horizontal="left" indent="2"/>
    </xf>
    <xf numFmtId="167" fontId="34" fillId="0" borderId="0" xfId="1" applyFont="1" applyFill="1" applyBorder="1" applyAlignment="1"/>
    <xf numFmtId="167" fontId="26" fillId="0" borderId="4" xfId="1" applyFont="1" applyFill="1" applyBorder="1" applyAlignment="1"/>
    <xf numFmtId="167" fontId="25" fillId="0" borderId="0" xfId="1" applyFont="1" applyFill="1" applyBorder="1" applyAlignment="1">
      <alignment wrapText="1"/>
    </xf>
    <xf numFmtId="167" fontId="22" fillId="0" borderId="4" xfId="1" applyFont="1" applyFill="1" applyBorder="1" applyAlignment="1"/>
    <xf numFmtId="167" fontId="26" fillId="0" borderId="0" xfId="1" applyFont="1" applyFill="1" applyBorder="1" applyAlignment="1">
      <alignment horizontal="right"/>
    </xf>
    <xf numFmtId="167" fontId="26" fillId="0" borderId="16" xfId="1" applyFont="1" applyFill="1" applyBorder="1" applyAlignment="1">
      <alignment horizontal="right"/>
    </xf>
    <xf numFmtId="1" fontId="22" fillId="0" borderId="4" xfId="11" applyNumberFormat="1" applyFont="1" applyFill="1" applyBorder="1" applyAlignment="1">
      <alignment horizontal="right"/>
    </xf>
    <xf numFmtId="167" fontId="22" fillId="0" borderId="7" xfId="1" applyFont="1" applyFill="1" applyBorder="1"/>
    <xf numFmtId="1" fontId="22" fillId="0" borderId="17" xfId="11" applyNumberFormat="1" applyFont="1" applyFill="1" applyBorder="1"/>
    <xf numFmtId="167" fontId="26" fillId="0" borderId="4" xfId="1" applyFont="1" applyBorder="1" applyAlignment="1"/>
    <xf numFmtId="167" fontId="26" fillId="0" borderId="23" xfId="1" applyFont="1" applyBorder="1" applyAlignment="1">
      <alignment horizontal="right"/>
    </xf>
    <xf numFmtId="167" fontId="26" fillId="0" borderId="8" xfId="1" applyFont="1" applyBorder="1" applyAlignment="1">
      <alignment horizontal="right"/>
    </xf>
    <xf numFmtId="167" fontId="22" fillId="0" borderId="7" xfId="1" applyFont="1" applyFill="1" applyBorder="1" applyAlignment="1"/>
    <xf numFmtId="167" fontId="25" fillId="0" borderId="23" xfId="1" applyFont="1" applyBorder="1" applyAlignment="1"/>
    <xf numFmtId="0" fontId="26" fillId="0" borderId="0" xfId="11" applyNumberFormat="1" applyFont="1" applyAlignment="1"/>
    <xf numFmtId="180" fontId="25" fillId="0" borderId="0" xfId="11" applyNumberFormat="1" applyFont="1" applyAlignment="1">
      <alignment horizontal="center"/>
    </xf>
    <xf numFmtId="187" fontId="26" fillId="0" borderId="0" xfId="11" applyNumberFormat="1" applyFont="1" applyBorder="1" applyAlignment="1">
      <alignment horizontal="right"/>
    </xf>
    <xf numFmtId="167" fontId="26" fillId="0" borderId="16" xfId="11" applyNumberFormat="1" applyFont="1" applyBorder="1" applyAlignment="1">
      <alignment horizontal="right"/>
    </xf>
    <xf numFmtId="187" fontId="22" fillId="0" borderId="0" xfId="11" applyNumberFormat="1" applyFont="1" applyBorder="1" applyAlignment="1">
      <alignment horizontal="right"/>
    </xf>
    <xf numFmtId="167" fontId="22" fillId="0" borderId="16" xfId="11" applyNumberFormat="1" applyFont="1" applyBorder="1" applyAlignment="1">
      <alignment horizontal="right"/>
    </xf>
    <xf numFmtId="187" fontId="3" fillId="0" borderId="0" xfId="0" applyNumberFormat="1" applyFont="1"/>
    <xf numFmtId="170" fontId="3" fillId="0" borderId="16" xfId="0" applyFont="1" applyBorder="1"/>
    <xf numFmtId="170" fontId="27" fillId="5" borderId="0" xfId="0" applyFont="1" applyFill="1"/>
    <xf numFmtId="1" fontId="3" fillId="5" borderId="0" xfId="1" applyNumberFormat="1" applyFont="1" applyFill="1"/>
    <xf numFmtId="183" fontId="3" fillId="5" borderId="0" xfId="1" applyNumberFormat="1" applyFont="1" applyFill="1"/>
    <xf numFmtId="183" fontId="3" fillId="5" borderId="16" xfId="1" applyNumberFormat="1" applyFont="1" applyFill="1" applyBorder="1"/>
    <xf numFmtId="170" fontId="27" fillId="5" borderId="13" xfId="0" applyFont="1" applyFill="1" applyBorder="1"/>
    <xf numFmtId="170" fontId="3" fillId="5" borderId="24" xfId="0" applyFont="1" applyFill="1" applyBorder="1" applyAlignment="1">
      <alignment horizontal="center"/>
    </xf>
    <xf numFmtId="1" fontId="3" fillId="5" borderId="24" xfId="1" applyNumberFormat="1" applyFont="1" applyFill="1" applyBorder="1"/>
    <xf numFmtId="183" fontId="3" fillId="5" borderId="24" xfId="1" applyNumberFormat="1" applyFont="1" applyFill="1" applyBorder="1"/>
    <xf numFmtId="183" fontId="3" fillId="5" borderId="14" xfId="1" applyNumberFormat="1" applyFont="1" applyFill="1" applyBorder="1"/>
    <xf numFmtId="170" fontId="48" fillId="5" borderId="4" xfId="0" applyFont="1" applyFill="1" applyBorder="1"/>
    <xf numFmtId="1" fontId="3" fillId="5" borderId="0" xfId="1" applyNumberFormat="1" applyFont="1" applyFill="1" applyBorder="1"/>
    <xf numFmtId="183" fontId="3" fillId="5" borderId="0" xfId="1" applyNumberFormat="1" applyFont="1" applyFill="1" applyBorder="1"/>
    <xf numFmtId="1" fontId="3" fillId="5" borderId="16" xfId="1" applyNumberFormat="1" applyFont="1" applyFill="1" applyBorder="1"/>
    <xf numFmtId="183" fontId="50" fillId="5" borderId="16" xfId="1" applyNumberFormat="1" applyFont="1" applyFill="1" applyBorder="1"/>
    <xf numFmtId="2" fontId="3" fillId="5" borderId="15" xfId="1" applyNumberFormat="1" applyFont="1" applyFill="1" applyBorder="1"/>
    <xf numFmtId="167" fontId="3" fillId="5" borderId="12" xfId="1" applyFont="1" applyFill="1" applyBorder="1"/>
    <xf numFmtId="170" fontId="3" fillId="0" borderId="0" xfId="0" applyFont="1" applyAlignment="1">
      <alignment horizontal="center"/>
    </xf>
    <xf numFmtId="183" fontId="48" fillId="0" borderId="0" xfId="1" applyNumberFormat="1" applyFont="1" applyFill="1" applyBorder="1" applyAlignment="1"/>
    <xf numFmtId="183" fontId="48" fillId="0" borderId="16" xfId="1" applyNumberFormat="1" applyFont="1" applyFill="1" applyBorder="1" applyAlignment="1"/>
    <xf numFmtId="180" fontId="25" fillId="0" borderId="0" xfId="11" applyNumberFormat="1" applyFont="1" applyBorder="1"/>
    <xf numFmtId="2" fontId="26" fillId="0" borderId="13" xfId="11" applyNumberFormat="1" applyFont="1" applyFill="1" applyBorder="1"/>
    <xf numFmtId="2" fontId="26" fillId="0" borderId="24" xfId="11" applyNumberFormat="1" applyFont="1" applyFill="1" applyBorder="1"/>
    <xf numFmtId="2" fontId="26" fillId="0" borderId="24" xfId="11" applyNumberFormat="1" applyFont="1" applyBorder="1"/>
    <xf numFmtId="180" fontId="26" fillId="0" borderId="14" xfId="11" applyNumberFormat="1" applyFont="1" applyBorder="1"/>
    <xf numFmtId="1" fontId="3" fillId="0" borderId="0" xfId="1" applyNumberFormat="1" applyFont="1" applyFill="1" applyBorder="1"/>
    <xf numFmtId="183" fontId="3" fillId="0" borderId="16" xfId="1" applyNumberFormat="1" applyFont="1" applyFill="1" applyBorder="1"/>
    <xf numFmtId="2" fontId="26" fillId="0" borderId="4" xfId="11" applyNumberFormat="1" applyFont="1" applyFill="1" applyBorder="1"/>
    <xf numFmtId="180" fontId="26" fillId="0" borderId="16" xfId="11" applyNumberFormat="1" applyFont="1" applyBorder="1"/>
    <xf numFmtId="1" fontId="48" fillId="0" borderId="0" xfId="1" applyNumberFormat="1" applyFont="1" applyFill="1" applyBorder="1" applyAlignment="1">
      <alignment horizontal="center"/>
    </xf>
    <xf numFmtId="183" fontId="48" fillId="0" borderId="16" xfId="1" applyNumberFormat="1" applyFont="1" applyFill="1" applyBorder="1" applyAlignment="1">
      <alignment horizontal="center"/>
    </xf>
    <xf numFmtId="183" fontId="3" fillId="0" borderId="0" xfId="1" applyNumberFormat="1" applyFont="1" applyFill="1" applyBorder="1"/>
    <xf numFmtId="1" fontId="3" fillId="0" borderId="0" xfId="1" applyNumberFormat="1" applyFont="1" applyFill="1"/>
    <xf numFmtId="183" fontId="3" fillId="0" borderId="0" xfId="1" applyNumberFormat="1" applyFont="1" applyFill="1"/>
    <xf numFmtId="185" fontId="26" fillId="0" borderId="16" xfId="11" applyNumberFormat="1" applyFont="1" applyFill="1" applyBorder="1"/>
    <xf numFmtId="14" fontId="3" fillId="0" borderId="0" xfId="0" applyNumberFormat="1" applyFont="1"/>
    <xf numFmtId="14" fontId="51" fillId="0" borderId="0" xfId="0" applyNumberFormat="1" applyFont="1" applyAlignment="1">
      <alignment horizontal="center"/>
    </xf>
    <xf numFmtId="1" fontId="52" fillId="0" borderId="0" xfId="0" applyNumberFormat="1" applyFont="1"/>
    <xf numFmtId="1" fontId="3" fillId="0" borderId="16" xfId="1" applyNumberFormat="1" applyFont="1" applyFill="1" applyBorder="1"/>
    <xf numFmtId="185" fontId="26" fillId="0" borderId="0" xfId="11" applyNumberFormat="1" applyFont="1" applyFill="1" applyBorder="1"/>
    <xf numFmtId="14" fontId="53" fillId="0" borderId="0" xfId="0" applyNumberFormat="1" applyFont="1" applyAlignment="1">
      <alignment horizontal="center"/>
    </xf>
    <xf numFmtId="1" fontId="54" fillId="0" borderId="0" xfId="0" applyNumberFormat="1" applyFont="1"/>
    <xf numFmtId="1" fontId="3" fillId="0" borderId="8" xfId="1" applyNumberFormat="1" applyFont="1" applyFill="1" applyBorder="1"/>
    <xf numFmtId="2" fontId="26" fillId="0" borderId="23" xfId="11" applyNumberFormat="1" applyFont="1" applyFill="1" applyBorder="1"/>
    <xf numFmtId="185" fontId="26" fillId="0" borderId="23" xfId="11" applyNumberFormat="1" applyFont="1" applyFill="1" applyBorder="1"/>
    <xf numFmtId="185" fontId="26" fillId="0" borderId="8" xfId="11" applyNumberFormat="1" applyFont="1" applyFill="1" applyBorder="1"/>
    <xf numFmtId="2" fontId="26" fillId="0" borderId="11" xfId="11" applyNumberFormat="1" applyFont="1" applyBorder="1"/>
    <xf numFmtId="14" fontId="3" fillId="0" borderId="15" xfId="0" applyNumberFormat="1" applyFont="1" applyBorder="1" applyAlignment="1">
      <alignment horizontal="center"/>
    </xf>
    <xf numFmtId="1" fontId="3" fillId="0" borderId="15" xfId="1" applyNumberFormat="1" applyFont="1" applyFill="1" applyBorder="1"/>
    <xf numFmtId="183" fontId="3" fillId="0" borderId="8" xfId="0" applyNumberFormat="1" applyFont="1" applyBorder="1"/>
    <xf numFmtId="167" fontId="3" fillId="0" borderId="11" xfId="1" applyFont="1" applyBorder="1"/>
    <xf numFmtId="183" fontId="3" fillId="0" borderId="0" xfId="0" applyNumberFormat="1" applyFont="1"/>
    <xf numFmtId="2" fontId="26" fillId="0" borderId="7" xfId="11" applyNumberFormat="1" applyFont="1" applyFill="1" applyBorder="1"/>
    <xf numFmtId="1" fontId="26" fillId="0" borderId="23" xfId="11" applyNumberFormat="1" applyFont="1" applyFill="1" applyBorder="1"/>
    <xf numFmtId="1" fontId="28" fillId="0" borderId="0" xfId="11" applyNumberFormat="1" applyFont="1" applyAlignment="1">
      <alignment horizontal="left" vertical="center"/>
    </xf>
    <xf numFmtId="180" fontId="28" fillId="0" borderId="0" xfId="11" applyNumberFormat="1" applyFont="1"/>
    <xf numFmtId="1" fontId="22" fillId="0" borderId="1" xfId="11" applyNumberFormat="1" applyFont="1" applyBorder="1"/>
    <xf numFmtId="180" fontId="22" fillId="0" borderId="11" xfId="11" applyNumberFormat="1" applyFont="1" applyBorder="1" applyAlignment="1">
      <alignment horizontal="center" vertical="center"/>
    </xf>
    <xf numFmtId="180" fontId="29" fillId="0" borderId="12" xfId="11" applyNumberFormat="1" applyFont="1" applyBorder="1" applyAlignment="1">
      <alignment horizontal="center"/>
    </xf>
    <xf numFmtId="167" fontId="27" fillId="0" borderId="11" xfId="0" applyNumberFormat="1" applyFont="1" applyBorder="1" applyAlignment="1">
      <alignment horizontal="center" vertical="center"/>
    </xf>
    <xf numFmtId="167" fontId="27" fillId="0" borderId="1" xfId="0" applyNumberFormat="1" applyFont="1" applyBorder="1" applyAlignment="1">
      <alignment horizontal="center" vertical="center" wrapText="1"/>
    </xf>
    <xf numFmtId="167" fontId="27" fillId="0" borderId="12" xfId="1" applyFont="1" applyBorder="1" applyAlignment="1">
      <alignment horizontal="center" vertical="center" wrapText="1"/>
    </xf>
    <xf numFmtId="170" fontId="27" fillId="0" borderId="15" xfId="0" applyFont="1" applyBorder="1" applyAlignment="1">
      <alignment horizontal="center" vertical="center" wrapText="1"/>
    </xf>
    <xf numFmtId="1" fontId="22" fillId="0" borderId="9" xfId="11" applyNumberFormat="1" applyFont="1" applyBorder="1"/>
    <xf numFmtId="180" fontId="26" fillId="0" borderId="13" xfId="11" applyNumberFormat="1" applyFont="1" applyBorder="1"/>
    <xf numFmtId="180" fontId="25" fillId="0" borderId="14" xfId="11" applyNumberFormat="1" applyFont="1" applyBorder="1" applyAlignment="1">
      <alignment horizontal="center"/>
    </xf>
    <xf numFmtId="1" fontId="22" fillId="0" borderId="2" xfId="11" applyNumberFormat="1" applyFont="1" applyBorder="1" applyAlignment="1">
      <alignment horizontal="center" vertical="center"/>
    </xf>
    <xf numFmtId="180" fontId="25" fillId="0" borderId="16" xfId="11" applyNumberFormat="1" applyFont="1" applyBorder="1" applyAlignment="1">
      <alignment horizontal="center" vertical="center"/>
    </xf>
    <xf numFmtId="167" fontId="3" fillId="0" borderId="0" xfId="1" applyFont="1" applyAlignment="1">
      <alignment vertical="center"/>
    </xf>
    <xf numFmtId="167" fontId="3" fillId="0" borderId="2" xfId="1" applyFont="1" applyBorder="1" applyAlignment="1">
      <alignment vertical="center"/>
    </xf>
    <xf numFmtId="167" fontId="3" fillId="0" borderId="16" xfId="1" applyFont="1" applyBorder="1" applyAlignment="1">
      <alignment vertical="center"/>
    </xf>
    <xf numFmtId="170" fontId="3" fillId="0" borderId="0" xfId="0" applyFont="1" applyAlignment="1">
      <alignment vertical="center"/>
    </xf>
    <xf numFmtId="1" fontId="22" fillId="0" borderId="10" xfId="11" applyNumberFormat="1" applyFont="1" applyBorder="1" applyAlignment="1">
      <alignment horizontal="center" vertical="center"/>
    </xf>
    <xf numFmtId="1" fontId="22" fillId="0" borderId="1" xfId="11" applyNumberFormat="1" applyFont="1" applyBorder="1" applyAlignment="1">
      <alignment horizontal="center" vertical="center"/>
    </xf>
    <xf numFmtId="180" fontId="26" fillId="0" borderId="11" xfId="11" applyNumberFormat="1" applyFont="1" applyBorder="1" applyAlignment="1">
      <alignment vertical="center"/>
    </xf>
    <xf numFmtId="180" fontId="25" fillId="0" borderId="12" xfId="11" applyNumberFormat="1" applyFont="1" applyBorder="1" applyAlignment="1">
      <alignment horizontal="center" vertical="center"/>
    </xf>
    <xf numFmtId="43" fontId="3" fillId="0" borderId="15" xfId="0" applyNumberFormat="1" applyFont="1" applyBorder="1" applyAlignment="1">
      <alignment vertical="center"/>
    </xf>
    <xf numFmtId="43" fontId="3" fillId="0" borderId="1" xfId="0" applyNumberFormat="1" applyFont="1" applyBorder="1" applyAlignment="1">
      <alignment vertical="center"/>
    </xf>
    <xf numFmtId="167" fontId="3" fillId="0" borderId="1" xfId="1" applyFont="1" applyBorder="1" applyAlignment="1">
      <alignment vertical="center"/>
    </xf>
    <xf numFmtId="9" fontId="3" fillId="0" borderId="0" xfId="9" applyFont="1" applyBorder="1" applyAlignment="1">
      <alignment vertical="center"/>
    </xf>
    <xf numFmtId="1" fontId="22" fillId="0" borderId="9" xfId="11" applyNumberFormat="1" applyFont="1" applyBorder="1" applyAlignment="1">
      <alignment horizontal="center" vertical="center"/>
    </xf>
    <xf numFmtId="170" fontId="3" fillId="0" borderId="2" xfId="0" applyFont="1" applyBorder="1" applyAlignment="1">
      <alignment vertical="center"/>
    </xf>
    <xf numFmtId="167" fontId="3" fillId="0" borderId="9" xfId="1" applyFont="1" applyBorder="1" applyAlignment="1">
      <alignment vertical="center"/>
    </xf>
    <xf numFmtId="170" fontId="3" fillId="0" borderId="24" xfId="0" applyFont="1" applyBorder="1" applyAlignment="1">
      <alignment vertical="center"/>
    </xf>
    <xf numFmtId="170" fontId="3" fillId="0" borderId="24" xfId="0" applyFont="1" applyBorder="1"/>
    <xf numFmtId="180" fontId="26" fillId="0" borderId="14" xfId="13" applyNumberFormat="1" applyFont="1" applyBorder="1"/>
    <xf numFmtId="170" fontId="3" fillId="0" borderId="4" xfId="0" applyFont="1" applyBorder="1" applyAlignment="1">
      <alignment vertical="center"/>
    </xf>
    <xf numFmtId="9" fontId="3" fillId="0" borderId="7" xfId="9" applyFont="1" applyBorder="1" applyAlignment="1">
      <alignment vertical="center"/>
    </xf>
    <xf numFmtId="9" fontId="3" fillId="0" borderId="23" xfId="9" applyFont="1" applyBorder="1" applyAlignment="1">
      <alignment vertical="center"/>
    </xf>
    <xf numFmtId="10" fontId="3" fillId="0" borderId="15" xfId="9" applyNumberFormat="1" applyFont="1" applyBorder="1" applyAlignment="1">
      <alignment vertical="center"/>
    </xf>
    <xf numFmtId="10" fontId="3" fillId="0" borderId="1" xfId="9" applyNumberFormat="1" applyFont="1" applyBorder="1" applyAlignment="1">
      <alignment vertical="center"/>
    </xf>
    <xf numFmtId="2" fontId="3" fillId="0" borderId="15" xfId="0" applyNumberFormat="1" applyFont="1" applyBorder="1" applyAlignment="1">
      <alignment vertical="center"/>
    </xf>
    <xf numFmtId="2" fontId="3" fillId="0" borderId="1" xfId="0" applyNumberFormat="1" applyFont="1" applyBorder="1" applyAlignment="1">
      <alignment vertical="center"/>
    </xf>
    <xf numFmtId="167" fontId="3" fillId="0" borderId="10" xfId="1" applyFont="1" applyBorder="1" applyAlignment="1">
      <alignment vertical="center"/>
    </xf>
    <xf numFmtId="1" fontId="27" fillId="0" borderId="0" xfId="0" applyNumberFormat="1" applyFont="1" applyAlignment="1">
      <alignment vertical="center"/>
    </xf>
    <xf numFmtId="167" fontId="27" fillId="0" borderId="0" xfId="1" applyFont="1" applyFill="1" applyBorder="1" applyAlignment="1">
      <alignment vertical="center"/>
    </xf>
    <xf numFmtId="182" fontId="27" fillId="0" borderId="0" xfId="1" applyNumberFormat="1" applyFont="1" applyFill="1" applyBorder="1" applyAlignment="1"/>
    <xf numFmtId="1" fontId="27" fillId="0" borderId="0" xfId="0" applyNumberFormat="1" applyFont="1"/>
    <xf numFmtId="1" fontId="3" fillId="0" borderId="0" xfId="0" applyNumberFormat="1" applyFont="1" applyAlignment="1">
      <alignment horizontal="right" vertical="center"/>
    </xf>
    <xf numFmtId="2" fontId="3" fillId="0" borderId="0" xfId="0" applyNumberFormat="1" applyFont="1"/>
    <xf numFmtId="2" fontId="3" fillId="0" borderId="0" xfId="0" applyNumberFormat="1" applyFont="1" applyAlignment="1">
      <alignment horizontal="right"/>
    </xf>
    <xf numFmtId="170" fontId="27" fillId="0" borderId="1" xfId="0" applyFont="1" applyBorder="1" applyAlignment="1">
      <alignment horizontal="center" vertical="center"/>
    </xf>
    <xf numFmtId="167" fontId="27" fillId="0" borderId="1" xfId="1" applyFont="1" applyFill="1" applyBorder="1" applyAlignment="1">
      <alignment horizontal="center" vertical="center"/>
    </xf>
    <xf numFmtId="182" fontId="27" fillId="0" borderId="1" xfId="1" applyNumberFormat="1" applyFont="1" applyFill="1" applyBorder="1" applyAlignment="1">
      <alignment horizontal="center" vertical="center"/>
    </xf>
    <xf numFmtId="2" fontId="27" fillId="0" borderId="0" xfId="0" applyNumberFormat="1" applyFont="1" applyAlignment="1">
      <alignment horizontal="center" vertical="center"/>
    </xf>
    <xf numFmtId="170" fontId="3" fillId="0" borderId="2" xfId="0" applyFont="1" applyBorder="1" applyAlignment="1">
      <alignment horizontal="right" vertical="center"/>
    </xf>
    <xf numFmtId="170" fontId="27" fillId="0" borderId="2" xfId="0" applyFont="1" applyBorder="1" applyAlignment="1">
      <alignment horizontal="center" vertical="center"/>
    </xf>
    <xf numFmtId="167" fontId="27" fillId="0" borderId="2" xfId="1" applyFont="1" applyFill="1" applyBorder="1" applyAlignment="1">
      <alignment horizontal="center" vertical="center"/>
    </xf>
    <xf numFmtId="182" fontId="27" fillId="0" borderId="9"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167" fontId="3" fillId="0" borderId="2" xfId="1" applyFont="1" applyFill="1" applyBorder="1" applyAlignment="1">
      <alignment vertical="center"/>
    </xf>
    <xf numFmtId="182" fontId="3" fillId="0" borderId="2" xfId="1" applyNumberFormat="1" applyFont="1" applyFill="1" applyBorder="1"/>
    <xf numFmtId="170" fontId="27" fillId="0" borderId="2" xfId="0" applyFont="1" applyBorder="1" applyAlignment="1">
      <alignment horizontal="right" vertical="center"/>
    </xf>
    <xf numFmtId="170" fontId="27" fillId="0" borderId="2" xfId="0" applyFont="1" applyBorder="1" applyAlignment="1">
      <alignment vertical="center"/>
    </xf>
    <xf numFmtId="167" fontId="27" fillId="0" borderId="2" xfId="1" applyFont="1" applyFill="1" applyBorder="1" applyAlignment="1">
      <alignment vertical="center"/>
    </xf>
    <xf numFmtId="182" fontId="3" fillId="0" borderId="2" xfId="1" applyNumberFormat="1" applyFont="1" applyFill="1" applyBorder="1" applyAlignment="1">
      <alignment vertical="center"/>
    </xf>
    <xf numFmtId="182" fontId="3" fillId="0" borderId="4" xfId="1" applyNumberFormat="1" applyFont="1" applyFill="1" applyBorder="1" applyAlignment="1">
      <alignment vertical="center"/>
    </xf>
    <xf numFmtId="182" fontId="21" fillId="0" borderId="2" xfId="1" applyNumberFormat="1" applyFont="1" applyFill="1" applyBorder="1" applyAlignment="1">
      <alignment horizontal="right" vertical="center"/>
    </xf>
    <xf numFmtId="2" fontId="3" fillId="8" borderId="0" xfId="0" applyNumberFormat="1" applyFont="1" applyFill="1"/>
    <xf numFmtId="170" fontId="0" fillId="0" borderId="2" xfId="0" applyBorder="1" applyAlignment="1">
      <alignment vertical="center"/>
    </xf>
    <xf numFmtId="170" fontId="3" fillId="0" borderId="2" xfId="0" applyFont="1" applyBorder="1" applyAlignment="1">
      <alignment vertical="center" wrapText="1"/>
    </xf>
    <xf numFmtId="170" fontId="38" fillId="0" borderId="2" xfId="0" applyFont="1" applyBorder="1" applyAlignment="1">
      <alignment vertical="center"/>
    </xf>
    <xf numFmtId="182" fontId="38" fillId="0" borderId="2" xfId="1" applyNumberFormat="1" applyFont="1" applyFill="1" applyBorder="1" applyAlignment="1">
      <alignment vertical="center"/>
    </xf>
    <xf numFmtId="182" fontId="27" fillId="0" borderId="4" xfId="1" applyNumberFormat="1" applyFont="1" applyFill="1" applyBorder="1" applyAlignment="1">
      <alignment vertical="center"/>
    </xf>
    <xf numFmtId="182" fontId="27" fillId="0" borderId="2" xfId="1" applyNumberFormat="1" applyFont="1" applyFill="1" applyBorder="1" applyAlignment="1">
      <alignment vertical="center"/>
    </xf>
    <xf numFmtId="2" fontId="27" fillId="0" borderId="0" xfId="0" applyNumberFormat="1" applyFont="1"/>
    <xf numFmtId="170" fontId="3" fillId="12" borderId="2" xfId="0" applyFont="1" applyFill="1" applyBorder="1" applyAlignment="1">
      <alignment horizontal="right" vertical="center"/>
    </xf>
    <xf numFmtId="2" fontId="3" fillId="13" borderId="0" xfId="0" applyNumberFormat="1" applyFont="1" applyFill="1"/>
    <xf numFmtId="0" fontId="55" fillId="0" borderId="2" xfId="4" applyFont="1" applyBorder="1" applyAlignment="1">
      <alignment horizontal="left" vertical="center"/>
    </xf>
    <xf numFmtId="182" fontId="38" fillId="0" borderId="10" xfId="1" applyNumberFormat="1" applyFont="1" applyFill="1" applyBorder="1" applyAlignment="1">
      <alignment vertical="center"/>
    </xf>
    <xf numFmtId="182" fontId="27" fillId="0" borderId="10" xfId="1" applyNumberFormat="1" applyFont="1" applyFill="1" applyBorder="1" applyAlignment="1">
      <alignment vertical="center"/>
    </xf>
    <xf numFmtId="170" fontId="27" fillId="14" borderId="2" xfId="0" applyFont="1" applyFill="1" applyBorder="1" applyAlignment="1">
      <alignment vertical="center"/>
    </xf>
    <xf numFmtId="182" fontId="27" fillId="14" borderId="2" xfId="1" applyNumberFormat="1" applyFont="1" applyFill="1" applyBorder="1" applyAlignment="1">
      <alignment vertical="center"/>
    </xf>
    <xf numFmtId="182" fontId="27" fillId="14" borderId="18" xfId="1" applyNumberFormat="1" applyFont="1" applyFill="1" applyBorder="1" applyAlignment="1">
      <alignment vertical="center"/>
    </xf>
    <xf numFmtId="182" fontId="3" fillId="0" borderId="1" xfId="1" applyNumberFormat="1" applyFont="1" applyFill="1" applyBorder="1"/>
    <xf numFmtId="182" fontId="3" fillId="0" borderId="14" xfId="1" applyNumberFormat="1" applyFont="1" applyFill="1" applyBorder="1"/>
    <xf numFmtId="182" fontId="3" fillId="0" borderId="22" xfId="1" applyNumberFormat="1" applyFont="1" applyFill="1" applyBorder="1"/>
    <xf numFmtId="182" fontId="3" fillId="0" borderId="16" xfId="1" applyNumberFormat="1" applyFont="1" applyFill="1" applyBorder="1"/>
    <xf numFmtId="170" fontId="50" fillId="3" borderId="2" xfId="0" applyFont="1" applyFill="1" applyBorder="1" applyAlignment="1">
      <alignment horizontal="right" vertical="center"/>
    </xf>
    <xf numFmtId="182" fontId="27" fillId="0" borderId="16" xfId="1" applyNumberFormat="1" applyFont="1" applyFill="1" applyBorder="1" applyAlignment="1">
      <alignment vertical="center"/>
    </xf>
    <xf numFmtId="0" fontId="55" fillId="0" borderId="2" xfId="4" applyFont="1" applyBorder="1" applyAlignment="1">
      <alignment horizontal="left" vertical="center" wrapText="1"/>
    </xf>
    <xf numFmtId="182" fontId="55" fillId="0" borderId="2" xfId="1" applyNumberFormat="1" applyFont="1" applyFill="1" applyBorder="1" applyAlignment="1">
      <alignment horizontal="right" vertical="center"/>
    </xf>
    <xf numFmtId="170" fontId="50" fillId="0" borderId="2" xfId="0" applyFont="1" applyBorder="1" applyAlignment="1">
      <alignment vertical="center"/>
    </xf>
    <xf numFmtId="182" fontId="50" fillId="0" borderId="2" xfId="1" applyNumberFormat="1" applyFont="1" applyFill="1" applyBorder="1" applyAlignment="1">
      <alignment vertical="center"/>
    </xf>
    <xf numFmtId="170" fontId="3" fillId="0" borderId="10" xfId="0" applyFont="1" applyBorder="1" applyAlignment="1">
      <alignment horizontal="right" vertical="center"/>
    </xf>
    <xf numFmtId="170" fontId="27" fillId="14" borderId="10" xfId="0" applyFont="1" applyFill="1" applyBorder="1" applyAlignment="1">
      <alignment vertical="center"/>
    </xf>
    <xf numFmtId="182" fontId="27" fillId="14" borderId="10" xfId="1" applyNumberFormat="1" applyFont="1" applyFill="1" applyBorder="1" applyAlignment="1">
      <alignment vertical="center"/>
    </xf>
    <xf numFmtId="182" fontId="27" fillId="14" borderId="1" xfId="1" applyNumberFormat="1" applyFont="1" applyFill="1" applyBorder="1" applyAlignment="1">
      <alignment vertical="center"/>
    </xf>
    <xf numFmtId="182" fontId="27" fillId="14" borderId="12" xfId="1" applyNumberFormat="1" applyFont="1" applyFill="1" applyBorder="1" applyAlignment="1">
      <alignment vertical="center"/>
    </xf>
    <xf numFmtId="170" fontId="3" fillId="0" borderId="9" xfId="0" applyFont="1" applyBorder="1" applyAlignment="1">
      <alignment horizontal="right" vertical="center"/>
    </xf>
    <xf numFmtId="170" fontId="3" fillId="0" borderId="9" xfId="0" applyFont="1" applyBorder="1" applyAlignment="1">
      <alignment vertical="center"/>
    </xf>
    <xf numFmtId="182" fontId="3" fillId="0" borderId="9" xfId="1" applyNumberFormat="1" applyFont="1" applyFill="1" applyBorder="1" applyAlignment="1">
      <alignment vertical="center"/>
    </xf>
    <xf numFmtId="182" fontId="27" fillId="0" borderId="16" xfId="1" applyNumberFormat="1" applyFont="1" applyFill="1" applyBorder="1"/>
    <xf numFmtId="182" fontId="38" fillId="0" borderId="9" xfId="1" applyNumberFormat="1" applyFont="1" applyFill="1" applyBorder="1" applyAlignment="1">
      <alignment vertical="center"/>
    </xf>
    <xf numFmtId="182" fontId="27" fillId="0" borderId="9" xfId="1" applyNumberFormat="1" applyFont="1" applyFill="1" applyBorder="1" applyAlignment="1">
      <alignment vertical="center"/>
    </xf>
    <xf numFmtId="182" fontId="27" fillId="0" borderId="14" xfId="1" applyNumberFormat="1" applyFont="1" applyFill="1" applyBorder="1" applyAlignment="1">
      <alignment vertical="center"/>
    </xf>
    <xf numFmtId="1" fontId="3" fillId="0" borderId="2" xfId="0" applyNumberFormat="1" applyFont="1" applyBorder="1" applyAlignment="1">
      <alignment vertical="center"/>
    </xf>
    <xf numFmtId="182" fontId="27" fillId="14" borderId="19" xfId="1" applyNumberFormat="1" applyFont="1" applyFill="1" applyBorder="1" applyAlignment="1">
      <alignment vertical="center"/>
    </xf>
    <xf numFmtId="0" fontId="56" fillId="0" borderId="2" xfId="11" applyNumberFormat="1" applyFont="1" applyFill="1" applyBorder="1" applyAlignment="1">
      <alignment horizontal="left" vertical="center" wrapText="1"/>
    </xf>
    <xf numFmtId="182" fontId="56" fillId="0" borderId="2" xfId="1" applyNumberFormat="1" applyFont="1" applyFill="1" applyBorder="1" applyAlignment="1">
      <alignment horizontal="left" vertical="center" wrapText="1"/>
    </xf>
    <xf numFmtId="0" fontId="56" fillId="0" borderId="2" xfId="11" applyNumberFormat="1" applyFont="1" applyFill="1" applyBorder="1" applyAlignment="1">
      <alignment vertical="center" wrapText="1"/>
    </xf>
    <xf numFmtId="182" fontId="56" fillId="0" borderId="2" xfId="1" applyNumberFormat="1" applyFont="1" applyFill="1" applyBorder="1" applyAlignment="1">
      <alignment vertical="center" wrapText="1"/>
    </xf>
    <xf numFmtId="182" fontId="50" fillId="0" borderId="2" xfId="1" applyNumberFormat="1" applyFont="1" applyBorder="1" applyAlignment="1">
      <alignment vertical="center"/>
    </xf>
    <xf numFmtId="182" fontId="3" fillId="0" borderId="10" xfId="1" applyNumberFormat="1" applyFont="1" applyFill="1" applyBorder="1" applyAlignment="1">
      <alignment vertical="center"/>
    </xf>
    <xf numFmtId="182" fontId="3" fillId="0" borderId="8" xfId="1" applyNumberFormat="1" applyFont="1" applyFill="1" applyBorder="1"/>
    <xf numFmtId="170" fontId="3" fillId="0" borderId="2" xfId="0" applyFont="1" applyBorder="1" applyAlignment="1">
      <alignment horizontal="left" vertical="center" wrapText="1"/>
    </xf>
    <xf numFmtId="182" fontId="3" fillId="0" borderId="2" xfId="1" applyNumberFormat="1" applyFont="1" applyFill="1" applyBorder="1" applyAlignment="1">
      <alignment horizontal="left" vertical="center" wrapText="1"/>
    </xf>
    <xf numFmtId="203" fontId="3" fillId="0" borderId="0" xfId="0" applyNumberFormat="1" applyFont="1"/>
    <xf numFmtId="0" fontId="55" fillId="0" borderId="2" xfId="4" applyFont="1" applyBorder="1" applyAlignment="1">
      <alignment horizontal="right" vertical="center"/>
    </xf>
    <xf numFmtId="182" fontId="55" fillId="0" borderId="2" xfId="1" applyNumberFormat="1" applyFont="1" applyFill="1" applyBorder="1" applyAlignment="1">
      <alignment horizontal="left" vertical="center"/>
    </xf>
    <xf numFmtId="170" fontId="38" fillId="14" borderId="2" xfId="0" applyFont="1" applyFill="1" applyBorder="1" applyAlignment="1">
      <alignment vertical="center"/>
    </xf>
    <xf numFmtId="182" fontId="38" fillId="14" borderId="2" xfId="1" applyNumberFormat="1" applyFont="1" applyFill="1" applyBorder="1" applyAlignment="1">
      <alignment vertical="center"/>
    </xf>
    <xf numFmtId="180" fontId="56" fillId="0" borderId="2" xfId="11" applyNumberFormat="1" applyFont="1" applyFill="1" applyBorder="1" applyAlignment="1">
      <alignment vertical="center"/>
    </xf>
    <xf numFmtId="182" fontId="56" fillId="0" borderId="2" xfId="1" quotePrefix="1" applyNumberFormat="1" applyFont="1" applyFill="1" applyBorder="1" applyAlignment="1">
      <alignment vertical="center"/>
    </xf>
    <xf numFmtId="182" fontId="3" fillId="0" borderId="0" xfId="1" applyNumberFormat="1" applyFont="1" applyFill="1" applyBorder="1"/>
    <xf numFmtId="170" fontId="3" fillId="15" borderId="2" xfId="0" applyFont="1" applyFill="1" applyBorder="1" applyAlignment="1">
      <alignment horizontal="right" vertical="center"/>
    </xf>
    <xf numFmtId="167" fontId="56" fillId="0" borderId="2" xfId="1" quotePrefix="1" applyFont="1" applyFill="1" applyBorder="1" applyAlignment="1">
      <alignment vertical="center"/>
    </xf>
    <xf numFmtId="170" fontId="3" fillId="14" borderId="2" xfId="0" applyFont="1" applyFill="1" applyBorder="1" applyAlignment="1">
      <alignment vertical="center"/>
    </xf>
    <xf numFmtId="182" fontId="3" fillId="14" borderId="2" xfId="1" applyNumberFormat="1" applyFont="1" applyFill="1" applyBorder="1" applyAlignment="1">
      <alignment vertical="center"/>
    </xf>
    <xf numFmtId="182" fontId="3" fillId="14" borderId="18" xfId="1" applyNumberFormat="1" applyFont="1" applyFill="1" applyBorder="1" applyAlignment="1">
      <alignment vertical="center"/>
    </xf>
    <xf numFmtId="182" fontId="56" fillId="0" borderId="2" xfId="1" applyNumberFormat="1" applyFont="1" applyFill="1" applyBorder="1" applyAlignment="1">
      <alignment vertical="center"/>
    </xf>
    <xf numFmtId="180" fontId="56" fillId="16" borderId="2" xfId="11" applyNumberFormat="1" applyFont="1" applyFill="1" applyBorder="1" applyAlignment="1">
      <alignment vertical="center" wrapText="1"/>
    </xf>
    <xf numFmtId="182" fontId="56" fillId="16" borderId="2" xfId="1" applyNumberFormat="1" applyFont="1" applyFill="1" applyBorder="1" applyAlignment="1">
      <alignment vertical="center" wrapText="1"/>
    </xf>
    <xf numFmtId="182" fontId="3" fillId="16" borderId="2" xfId="1" applyNumberFormat="1" applyFont="1" applyFill="1" applyBorder="1" applyAlignment="1">
      <alignment vertical="center"/>
    </xf>
    <xf numFmtId="182" fontId="3" fillId="8" borderId="16" xfId="1" applyNumberFormat="1" applyFont="1" applyFill="1" applyBorder="1"/>
    <xf numFmtId="170" fontId="38" fillId="14" borderId="10" xfId="0" applyFont="1" applyFill="1" applyBorder="1" applyAlignment="1">
      <alignment vertical="center"/>
    </xf>
    <xf numFmtId="182" fontId="38" fillId="14" borderId="10" xfId="1" applyNumberFormat="1" applyFont="1" applyFill="1" applyBorder="1" applyAlignment="1">
      <alignment vertical="center"/>
    </xf>
    <xf numFmtId="170" fontId="3" fillId="0" borderId="0" xfId="0" applyFont="1" applyAlignment="1">
      <alignment horizontal="right" vertical="center"/>
    </xf>
    <xf numFmtId="180" fontId="56" fillId="0" borderId="0" xfId="11" applyNumberFormat="1" applyFont="1" applyFill="1" applyBorder="1" applyAlignment="1">
      <alignment vertical="center" wrapText="1"/>
    </xf>
    <xf numFmtId="182" fontId="56" fillId="0" borderId="0" xfId="1" applyNumberFormat="1" applyFont="1" applyFill="1" applyBorder="1" applyAlignment="1">
      <alignment vertical="center" wrapText="1"/>
    </xf>
    <xf numFmtId="182" fontId="3" fillId="0" borderId="0" xfId="1" applyNumberFormat="1" applyFont="1" applyFill="1" applyBorder="1" applyAlignment="1">
      <alignment vertical="center"/>
    </xf>
    <xf numFmtId="170" fontId="27" fillId="0" borderId="9" xfId="0" applyFont="1" applyBorder="1" applyAlignment="1">
      <alignment horizontal="right" vertical="center"/>
    </xf>
    <xf numFmtId="170" fontId="27" fillId="0" borderId="9" xfId="0" applyFont="1" applyBorder="1" applyAlignment="1">
      <alignment vertical="center"/>
    </xf>
    <xf numFmtId="170" fontId="3" fillId="17" borderId="2" xfId="0" applyFont="1" applyFill="1" applyBorder="1" applyAlignment="1">
      <alignment horizontal="right" vertical="center"/>
    </xf>
    <xf numFmtId="180" fontId="56" fillId="17" borderId="2" xfId="11" applyNumberFormat="1" applyFont="1" applyFill="1" applyBorder="1" applyAlignment="1">
      <alignment horizontal="left" vertical="center"/>
    </xf>
    <xf numFmtId="182" fontId="56" fillId="17" borderId="2" xfId="1" applyNumberFormat="1" applyFont="1" applyFill="1" applyBorder="1" applyAlignment="1">
      <alignment horizontal="left" vertical="center"/>
    </xf>
    <xf numFmtId="182" fontId="3" fillId="17" borderId="8" xfId="1" applyNumberFormat="1" applyFont="1" applyFill="1" applyBorder="1" applyAlignment="1">
      <alignment vertical="center"/>
    </xf>
    <xf numFmtId="180" fontId="56" fillId="0" borderId="2" xfId="11" applyNumberFormat="1" applyFont="1" applyFill="1" applyBorder="1" applyAlignment="1">
      <alignment horizontal="left" vertical="center"/>
    </xf>
    <xf numFmtId="182" fontId="56" fillId="0" borderId="2" xfId="1" applyNumberFormat="1" applyFont="1" applyFill="1" applyBorder="1" applyAlignment="1">
      <alignment horizontal="left" vertical="center"/>
    </xf>
    <xf numFmtId="180" fontId="57" fillId="0" borderId="2" xfId="11" applyNumberFormat="1" applyFont="1" applyFill="1" applyBorder="1" applyAlignment="1">
      <alignment horizontal="left" vertical="center"/>
    </xf>
    <xf numFmtId="182" fontId="57" fillId="0" borderId="2" xfId="1" applyNumberFormat="1" applyFont="1" applyFill="1" applyBorder="1" applyAlignment="1">
      <alignment horizontal="left" vertical="center"/>
    </xf>
    <xf numFmtId="182" fontId="3" fillId="0" borderId="16" xfId="1" applyNumberFormat="1" applyFont="1" applyFill="1" applyBorder="1" applyAlignment="1">
      <alignment vertical="center"/>
    </xf>
    <xf numFmtId="180" fontId="56" fillId="0" borderId="2" xfId="11" applyNumberFormat="1" applyFont="1" applyFill="1" applyBorder="1" applyAlignment="1">
      <alignment horizontal="left" vertical="center" wrapText="1"/>
    </xf>
    <xf numFmtId="182" fontId="0" fillId="0" borderId="2" xfId="1" applyNumberFormat="1" applyFont="1" applyBorder="1" applyAlignment="1">
      <alignment vertical="center"/>
    </xf>
    <xf numFmtId="2" fontId="3" fillId="8" borderId="2" xfId="0" applyNumberFormat="1" applyFont="1" applyFill="1" applyBorder="1" applyAlignment="1">
      <alignment vertical="center"/>
    </xf>
    <xf numFmtId="182" fontId="3" fillId="8" borderId="2" xfId="1" applyNumberFormat="1" applyFont="1" applyFill="1" applyBorder="1" applyAlignment="1">
      <alignment vertical="center"/>
    </xf>
    <xf numFmtId="170" fontId="3" fillId="0" borderId="2" xfId="0" applyFont="1" applyBorder="1" applyAlignment="1">
      <alignment horizontal="left" vertical="center"/>
    </xf>
    <xf numFmtId="180" fontId="57" fillId="0" borderId="2" xfId="11" applyNumberFormat="1" applyFont="1" applyFill="1" applyBorder="1" applyAlignment="1">
      <alignment vertical="center"/>
    </xf>
    <xf numFmtId="182" fontId="57" fillId="0" borderId="2" xfId="1" applyNumberFormat="1" applyFont="1" applyFill="1" applyBorder="1" applyAlignment="1">
      <alignment vertical="center"/>
    </xf>
    <xf numFmtId="182" fontId="57" fillId="0" borderId="9" xfId="1" applyNumberFormat="1" applyFont="1" applyFill="1" applyBorder="1" applyAlignment="1">
      <alignment horizontal="left" vertical="center"/>
    </xf>
    <xf numFmtId="180" fontId="3" fillId="0" borderId="2" xfId="11" applyNumberFormat="1" applyFont="1" applyFill="1" applyBorder="1" applyAlignment="1">
      <alignment vertical="center"/>
    </xf>
    <xf numFmtId="180" fontId="57" fillId="14" borderId="2" xfId="11" applyNumberFormat="1" applyFont="1" applyFill="1" applyBorder="1" applyAlignment="1">
      <alignment horizontal="left" vertical="center"/>
    </xf>
    <xf numFmtId="182" fontId="57" fillId="14" borderId="2" xfId="1" applyNumberFormat="1" applyFont="1" applyFill="1" applyBorder="1" applyAlignment="1">
      <alignment horizontal="left" vertical="center"/>
    </xf>
    <xf numFmtId="182" fontId="50" fillId="2" borderId="2" xfId="1" applyNumberFormat="1" applyFont="1" applyFill="1" applyBorder="1" applyAlignment="1">
      <alignment vertical="center"/>
    </xf>
    <xf numFmtId="0" fontId="57" fillId="0" borderId="2" xfId="11" applyNumberFormat="1" applyFont="1" applyFill="1" applyBorder="1" applyAlignment="1">
      <alignment vertical="center" wrapText="1"/>
    </xf>
    <xf numFmtId="182" fontId="57" fillId="0" borderId="2" xfId="1" applyNumberFormat="1" applyFont="1" applyFill="1" applyBorder="1" applyAlignment="1">
      <alignment vertical="center" wrapText="1"/>
    </xf>
    <xf numFmtId="0" fontId="57" fillId="0" borderId="2" xfId="11" applyNumberFormat="1" applyFont="1" applyFill="1" applyBorder="1" applyAlignment="1">
      <alignment horizontal="left" vertical="center"/>
    </xf>
    <xf numFmtId="0" fontId="3" fillId="0" borderId="2" xfId="11" applyNumberFormat="1" applyFont="1" applyFill="1" applyBorder="1" applyAlignment="1">
      <alignment vertical="center" wrapText="1"/>
    </xf>
    <xf numFmtId="182" fontId="3" fillId="0" borderId="2" xfId="1" applyNumberFormat="1" applyFont="1" applyFill="1" applyBorder="1" applyAlignment="1">
      <alignment vertical="center" wrapText="1"/>
    </xf>
    <xf numFmtId="1" fontId="3" fillId="0" borderId="2" xfId="0" applyNumberFormat="1" applyFont="1" applyBorder="1" applyAlignment="1">
      <alignment horizontal="right" vertical="center"/>
    </xf>
    <xf numFmtId="1" fontId="3" fillId="12" borderId="2" xfId="0" applyNumberFormat="1" applyFont="1" applyFill="1" applyBorder="1" applyAlignment="1">
      <alignment horizontal="right" vertical="center"/>
    </xf>
    <xf numFmtId="170" fontId="3" fillId="0" borderId="10" xfId="0" applyFont="1" applyBorder="1" applyAlignment="1">
      <alignment vertical="center"/>
    </xf>
    <xf numFmtId="182" fontId="56" fillId="0" borderId="7" xfId="1" applyNumberFormat="1" applyFont="1" applyFill="1" applyBorder="1" applyAlignment="1">
      <alignment horizontal="left" vertical="center"/>
    </xf>
    <xf numFmtId="182" fontId="3" fillId="0" borderId="23" xfId="1" applyNumberFormat="1" applyFont="1" applyFill="1" applyBorder="1" applyAlignment="1">
      <alignment vertical="center"/>
    </xf>
    <xf numFmtId="180" fontId="56" fillId="17" borderId="2" xfId="11" applyNumberFormat="1" applyFont="1" applyFill="1" applyBorder="1" applyAlignment="1">
      <alignment vertical="center" wrapText="1"/>
    </xf>
    <xf numFmtId="182" fontId="56" fillId="17" borderId="2" xfId="1" applyNumberFormat="1" applyFont="1" applyFill="1" applyBorder="1" applyAlignment="1">
      <alignment vertical="center" wrapText="1"/>
    </xf>
    <xf numFmtId="170" fontId="3" fillId="18" borderId="2" xfId="0" applyFont="1" applyFill="1" applyBorder="1" applyAlignment="1">
      <alignment horizontal="right" vertical="center"/>
    </xf>
    <xf numFmtId="182" fontId="3" fillId="17" borderId="2" xfId="1" applyNumberFormat="1" applyFont="1" applyFill="1" applyBorder="1" applyAlignment="1">
      <alignment vertical="center"/>
    </xf>
    <xf numFmtId="180" fontId="56" fillId="14" borderId="2" xfId="11" applyNumberFormat="1" applyFont="1" applyFill="1" applyBorder="1" applyAlignment="1">
      <alignment vertical="center" wrapText="1"/>
    </xf>
    <xf numFmtId="182" fontId="56" fillId="14" borderId="2" xfId="1" applyNumberFormat="1" applyFont="1" applyFill="1" applyBorder="1" applyAlignment="1">
      <alignment vertical="center" wrapText="1"/>
    </xf>
    <xf numFmtId="180" fontId="56" fillId="0" borderId="2" xfId="11" quotePrefix="1" applyNumberFormat="1" applyFont="1" applyFill="1" applyBorder="1" applyAlignment="1">
      <alignment vertical="center"/>
    </xf>
    <xf numFmtId="189" fontId="56" fillId="0" borderId="2" xfId="1" quotePrefix="1" applyNumberFormat="1" applyFont="1" applyFill="1" applyBorder="1" applyAlignment="1">
      <alignment vertical="center"/>
    </xf>
    <xf numFmtId="189" fontId="56" fillId="0" borderId="2" xfId="1" applyNumberFormat="1" applyFont="1" applyFill="1" applyBorder="1" applyAlignment="1">
      <alignment vertical="center"/>
    </xf>
    <xf numFmtId="182" fontId="3" fillId="14" borderId="19" xfId="1" applyNumberFormat="1" applyFont="1" applyFill="1" applyBorder="1" applyAlignment="1">
      <alignment vertical="center"/>
    </xf>
    <xf numFmtId="180" fontId="58" fillId="0" borderId="2" xfId="11" applyNumberFormat="1" applyFont="1" applyFill="1" applyBorder="1" applyAlignment="1">
      <alignment horizontal="left" vertical="center"/>
    </xf>
    <xf numFmtId="182" fontId="50" fillId="0" borderId="2" xfId="1" applyNumberFormat="1" applyFont="1" applyFill="1" applyBorder="1" applyAlignment="1">
      <alignment horizontal="left" vertical="center"/>
    </xf>
    <xf numFmtId="180" fontId="57" fillId="14" borderId="10" xfId="11" applyNumberFormat="1" applyFont="1" applyFill="1" applyBorder="1" applyAlignment="1">
      <alignment horizontal="left" vertical="center"/>
    </xf>
    <xf numFmtId="182" fontId="57" fillId="14" borderId="10" xfId="1" applyNumberFormat="1" applyFont="1" applyFill="1" applyBorder="1" applyAlignment="1">
      <alignment horizontal="left" vertical="center"/>
    </xf>
    <xf numFmtId="182" fontId="20" fillId="0" borderId="16" xfId="1" applyNumberFormat="1" applyFont="1" applyFill="1" applyBorder="1"/>
    <xf numFmtId="43" fontId="3" fillId="0" borderId="2" xfId="0" applyNumberFormat="1" applyFont="1" applyBorder="1" applyAlignment="1">
      <alignment horizontal="right" vertical="center"/>
    </xf>
    <xf numFmtId="180" fontId="26" fillId="0" borderId="0" xfId="11" applyNumberFormat="1" applyFont="1" applyFill="1" applyBorder="1" applyAlignment="1">
      <alignment horizontal="left" vertical="center" wrapText="1"/>
    </xf>
    <xf numFmtId="182" fontId="56" fillId="0" borderId="9" xfId="1" applyNumberFormat="1" applyFont="1" applyFill="1" applyBorder="1" applyAlignment="1">
      <alignment vertical="center"/>
    </xf>
    <xf numFmtId="182" fontId="3" fillId="0" borderId="14" xfId="1" applyNumberFormat="1" applyFont="1" applyFill="1" applyBorder="1" applyAlignment="1">
      <alignment vertical="center"/>
    </xf>
    <xf numFmtId="180" fontId="50" fillId="0" borderId="2" xfId="11" applyNumberFormat="1" applyFont="1" applyFill="1" applyBorder="1" applyAlignment="1">
      <alignment horizontal="left" vertical="center" wrapText="1"/>
    </xf>
    <xf numFmtId="182" fontId="50" fillId="0" borderId="2" xfId="1" applyNumberFormat="1" applyFont="1" applyFill="1" applyBorder="1" applyAlignment="1">
      <alignment horizontal="left" vertical="center" wrapText="1"/>
    </xf>
    <xf numFmtId="180" fontId="56" fillId="17" borderId="2" xfId="11" applyNumberFormat="1" applyFont="1" applyFill="1" applyBorder="1" applyAlignment="1">
      <alignment vertical="center"/>
    </xf>
    <xf numFmtId="182" fontId="56" fillId="17" borderId="2" xfId="1" applyNumberFormat="1" applyFont="1" applyFill="1" applyBorder="1" applyAlignment="1">
      <alignment vertical="center"/>
    </xf>
    <xf numFmtId="170" fontId="3" fillId="17" borderId="2" xfId="0" applyFont="1" applyFill="1" applyBorder="1" applyAlignment="1">
      <alignment vertical="center"/>
    </xf>
    <xf numFmtId="170" fontId="0" fillId="0" borderId="2" xfId="0" applyBorder="1" applyAlignment="1">
      <alignment vertical="center" wrapText="1"/>
    </xf>
    <xf numFmtId="182" fontId="3" fillId="17" borderId="9" xfId="1" applyNumberFormat="1" applyFont="1" applyFill="1" applyBorder="1" applyAlignment="1">
      <alignment vertical="center"/>
    </xf>
    <xf numFmtId="2" fontId="3" fillId="0" borderId="2" xfId="0" applyNumberFormat="1" applyFont="1" applyBorder="1" applyAlignment="1">
      <alignment vertical="center"/>
    </xf>
    <xf numFmtId="182" fontId="3" fillId="14" borderId="16" xfId="1" applyNumberFormat="1" applyFont="1" applyFill="1" applyBorder="1" applyAlignment="1">
      <alignment vertical="center"/>
    </xf>
    <xf numFmtId="182" fontId="56" fillId="0" borderId="9" xfId="1" applyNumberFormat="1" applyFont="1" applyFill="1" applyBorder="1" applyAlignment="1">
      <alignment horizontal="left" vertical="center"/>
    </xf>
    <xf numFmtId="182" fontId="3" fillId="13" borderId="16" xfId="1" applyNumberFormat="1" applyFont="1" applyFill="1" applyBorder="1"/>
    <xf numFmtId="182" fontId="52" fillId="0" borderId="2" xfId="1" applyNumberFormat="1" applyFont="1" applyFill="1" applyBorder="1" applyAlignment="1">
      <alignment vertical="center"/>
    </xf>
    <xf numFmtId="1" fontId="27" fillId="0" borderId="2" xfId="0" applyNumberFormat="1" applyFont="1" applyBorder="1" applyAlignment="1">
      <alignment horizontal="right" vertical="center"/>
    </xf>
    <xf numFmtId="2" fontId="27" fillId="13" borderId="0" xfId="0" applyNumberFormat="1" applyFont="1" applyFill="1"/>
    <xf numFmtId="165" fontId="3" fillId="0" borderId="2" xfId="0" applyNumberFormat="1" applyFont="1" applyBorder="1" applyAlignment="1">
      <alignment horizontal="right" vertical="center"/>
    </xf>
    <xf numFmtId="0" fontId="56" fillId="0" borderId="2" xfId="14" applyFont="1" applyBorder="1" applyAlignment="1">
      <alignment vertical="center"/>
    </xf>
    <xf numFmtId="0" fontId="56" fillId="0" borderId="2" xfId="14" applyFont="1" applyBorder="1" applyAlignment="1">
      <alignment vertical="center" wrapText="1"/>
    </xf>
    <xf numFmtId="182" fontId="56" fillId="0" borderId="10" xfId="1" applyNumberFormat="1" applyFont="1" applyFill="1" applyBorder="1" applyAlignment="1">
      <alignment vertical="center"/>
    </xf>
    <xf numFmtId="182" fontId="3" fillId="0" borderId="10" xfId="1" applyNumberFormat="1" applyFont="1" applyFill="1" applyBorder="1"/>
    <xf numFmtId="182" fontId="3" fillId="0" borderId="16" xfId="1" quotePrefix="1" applyNumberFormat="1" applyFont="1" applyFill="1" applyBorder="1"/>
    <xf numFmtId="1" fontId="3" fillId="0" borderId="2" xfId="0" applyNumberFormat="1" applyFont="1" applyBorder="1" applyAlignment="1">
      <alignment horizontal="left" vertical="center"/>
    </xf>
    <xf numFmtId="182" fontId="3" fillId="0" borderId="2" xfId="1" quotePrefix="1" applyNumberFormat="1" applyFont="1" applyFill="1" applyBorder="1" applyAlignment="1">
      <alignment vertical="center"/>
    </xf>
    <xf numFmtId="1" fontId="3" fillId="0" borderId="10" xfId="0" applyNumberFormat="1" applyFont="1" applyBorder="1" applyAlignment="1">
      <alignment horizontal="right" vertical="center"/>
    </xf>
    <xf numFmtId="0" fontId="56" fillId="0" borderId="10" xfId="11" applyNumberFormat="1" applyFont="1" applyFill="1" applyBorder="1" applyAlignment="1">
      <alignment horizontal="left" vertical="center" wrapText="1"/>
    </xf>
    <xf numFmtId="182" fontId="27" fillId="0" borderId="1" xfId="1" applyNumberFormat="1" applyFont="1" applyFill="1" applyBorder="1" applyAlignment="1">
      <alignment vertical="center"/>
    </xf>
    <xf numFmtId="0" fontId="56" fillId="0" borderId="0" xfId="11" applyNumberFormat="1" applyFont="1" applyFill="1" applyBorder="1" applyAlignment="1">
      <alignment horizontal="left" vertical="center" wrapText="1"/>
    </xf>
    <xf numFmtId="182" fontId="27" fillId="0" borderId="0" xfId="1" applyNumberFormat="1" applyFont="1" applyFill="1" applyBorder="1" applyAlignment="1">
      <alignment vertical="center"/>
    </xf>
    <xf numFmtId="1" fontId="3" fillId="0" borderId="9" xfId="0" applyNumberFormat="1" applyFont="1" applyBorder="1" applyAlignment="1">
      <alignment horizontal="right" vertical="center"/>
    </xf>
    <xf numFmtId="180" fontId="57" fillId="0" borderId="9" xfId="11" applyNumberFormat="1" applyFont="1" applyFill="1" applyBorder="1" applyAlignment="1">
      <alignment vertical="center"/>
    </xf>
    <xf numFmtId="182" fontId="57" fillId="0" borderId="9" xfId="1" applyNumberFormat="1" applyFont="1" applyFill="1" applyBorder="1" applyAlignment="1">
      <alignment vertical="center"/>
    </xf>
    <xf numFmtId="182" fontId="59" fillId="0" borderId="2" xfId="1" applyNumberFormat="1" applyFont="1" applyFill="1" applyBorder="1" applyAlignment="1">
      <alignment vertical="center"/>
    </xf>
    <xf numFmtId="182" fontId="57" fillId="0" borderId="9" xfId="1" applyNumberFormat="1" applyFont="1" applyFill="1" applyBorder="1" applyAlignment="1">
      <alignment vertical="center" wrapText="1"/>
    </xf>
    <xf numFmtId="182" fontId="57" fillId="0" borderId="9" xfId="1" applyNumberFormat="1" applyFont="1" applyFill="1" applyBorder="1" applyAlignment="1">
      <alignment horizontal="left" vertical="center" wrapText="1"/>
    </xf>
    <xf numFmtId="196" fontId="27" fillId="0" borderId="9" xfId="1" applyNumberFormat="1" applyFont="1" applyFill="1" applyBorder="1" applyAlignment="1">
      <alignment vertical="center"/>
    </xf>
    <xf numFmtId="182" fontId="0" fillId="0" borderId="2" xfId="1" applyNumberFormat="1" applyFont="1" applyFill="1" applyBorder="1" applyAlignment="1">
      <alignment vertical="center"/>
    </xf>
    <xf numFmtId="182" fontId="57" fillId="0" borderId="4" xfId="1" applyNumberFormat="1" applyFont="1" applyFill="1" applyBorder="1" applyAlignment="1">
      <alignment horizontal="left" vertical="center" wrapText="1"/>
    </xf>
    <xf numFmtId="182" fontId="27" fillId="0" borderId="24" xfId="1" applyNumberFormat="1" applyFont="1" applyFill="1" applyBorder="1" applyAlignment="1">
      <alignment vertical="center"/>
    </xf>
    <xf numFmtId="170" fontId="27" fillId="14" borderId="2" xfId="0" applyFont="1" applyFill="1" applyBorder="1" applyAlignment="1">
      <alignment vertical="center" wrapText="1"/>
    </xf>
    <xf numFmtId="182" fontId="27" fillId="14" borderId="2" xfId="1" applyNumberFormat="1" applyFont="1" applyFill="1" applyBorder="1" applyAlignment="1">
      <alignment vertical="center" wrapText="1"/>
    </xf>
    <xf numFmtId="182" fontId="27" fillId="14" borderId="33" xfId="1" applyNumberFormat="1" applyFont="1" applyFill="1" applyBorder="1" applyAlignment="1">
      <alignment vertical="center"/>
    </xf>
    <xf numFmtId="182" fontId="27" fillId="14" borderId="2" xfId="0" applyNumberFormat="1" applyFont="1" applyFill="1" applyBorder="1" applyAlignment="1">
      <alignment vertical="center" wrapText="1"/>
    </xf>
    <xf numFmtId="180" fontId="56" fillId="14" borderId="2" xfId="11" applyNumberFormat="1" applyFont="1" applyFill="1" applyBorder="1" applyAlignment="1">
      <alignment vertical="center"/>
    </xf>
    <xf numFmtId="182" fontId="56" fillId="14" borderId="2" xfId="1" applyNumberFormat="1" applyFont="1" applyFill="1" applyBorder="1" applyAlignment="1">
      <alignment vertical="center"/>
    </xf>
    <xf numFmtId="182" fontId="27" fillId="0" borderId="0" xfId="1" applyNumberFormat="1" applyFont="1" applyFill="1" applyBorder="1"/>
    <xf numFmtId="180" fontId="57" fillId="14" borderId="2" xfId="11" applyNumberFormat="1" applyFont="1" applyFill="1" applyBorder="1" applyAlignment="1">
      <alignment vertical="center"/>
    </xf>
    <xf numFmtId="182" fontId="57" fillId="14" borderId="2" xfId="1" applyNumberFormat="1" applyFont="1" applyFill="1" applyBorder="1" applyAlignment="1">
      <alignment vertical="center"/>
    </xf>
    <xf numFmtId="170" fontId="27" fillId="0" borderId="0" xfId="0" applyFont="1"/>
    <xf numFmtId="1" fontId="3" fillId="0" borderId="2" xfId="0" applyNumberFormat="1" applyFont="1" applyBorder="1" applyAlignment="1">
      <alignment horizontal="right" vertical="center" wrapText="1"/>
    </xf>
    <xf numFmtId="1" fontId="3" fillId="0" borderId="2" xfId="0" applyNumberFormat="1" applyFont="1" applyBorder="1" applyAlignment="1">
      <alignment horizontal="left" vertical="center" wrapText="1"/>
    </xf>
    <xf numFmtId="180" fontId="57" fillId="0" borderId="2" xfId="11" applyNumberFormat="1" applyFont="1" applyFill="1" applyBorder="1" applyAlignment="1">
      <alignment vertical="center" wrapText="1"/>
    </xf>
    <xf numFmtId="182" fontId="3" fillId="0" borderId="1" xfId="1" applyNumberFormat="1" applyFont="1" applyFill="1" applyBorder="1" applyAlignment="1">
      <alignment vertical="center"/>
    </xf>
    <xf numFmtId="180" fontId="57" fillId="14" borderId="10" xfId="11" applyNumberFormat="1" applyFont="1" applyFill="1" applyBorder="1" applyAlignment="1">
      <alignment vertical="center"/>
    </xf>
    <xf numFmtId="182" fontId="57" fillId="14" borderId="10" xfId="1" applyNumberFormat="1" applyFont="1" applyFill="1" applyBorder="1" applyAlignment="1">
      <alignment vertical="center"/>
    </xf>
    <xf numFmtId="182" fontId="3" fillId="14" borderId="1" xfId="1" applyNumberFormat="1" applyFont="1" applyFill="1" applyBorder="1" applyAlignment="1">
      <alignment vertical="center"/>
    </xf>
    <xf numFmtId="1" fontId="27" fillId="0" borderId="9" xfId="0" applyNumberFormat="1" applyFont="1" applyBorder="1" applyAlignment="1">
      <alignment horizontal="right" vertical="center"/>
    </xf>
    <xf numFmtId="180" fontId="57" fillId="0" borderId="9" xfId="11" applyNumberFormat="1" applyFont="1" applyFill="1" applyBorder="1" applyAlignment="1">
      <alignment horizontal="left" vertical="center"/>
    </xf>
    <xf numFmtId="182" fontId="3" fillId="15" borderId="2" xfId="1" applyNumberFormat="1" applyFont="1" applyFill="1" applyBorder="1" applyAlignment="1">
      <alignment vertical="center"/>
    </xf>
    <xf numFmtId="0" fontId="55" fillId="0" borderId="2" xfId="4" applyFont="1" applyBorder="1" applyAlignment="1">
      <alignment vertical="center" wrapText="1"/>
    </xf>
    <xf numFmtId="2" fontId="3" fillId="0" borderId="0" xfId="0" applyNumberFormat="1" applyFont="1" applyAlignment="1">
      <alignment vertical="center"/>
    </xf>
    <xf numFmtId="180" fontId="56" fillId="0" borderId="2" xfId="11" applyNumberFormat="1" applyFont="1" applyFill="1" applyBorder="1" applyAlignment="1">
      <alignment vertical="center" wrapText="1"/>
    </xf>
    <xf numFmtId="170" fontId="3" fillId="14" borderId="10" xfId="0" applyFont="1" applyFill="1" applyBorder="1" applyAlignment="1">
      <alignment vertical="center"/>
    </xf>
    <xf numFmtId="182" fontId="3" fillId="14" borderId="10" xfId="1" applyNumberFormat="1" applyFont="1" applyFill="1" applyBorder="1" applyAlignment="1">
      <alignment vertical="center"/>
    </xf>
    <xf numFmtId="182" fontId="0" fillId="0" borderId="0" xfId="1" applyNumberFormat="1" applyFont="1"/>
    <xf numFmtId="4" fontId="0" fillId="0" borderId="0" xfId="0" applyNumberFormat="1"/>
    <xf numFmtId="180" fontId="57" fillId="0" borderId="0" xfId="11" applyNumberFormat="1" applyFont="1" applyFill="1" applyBorder="1" applyAlignment="1">
      <alignment horizontal="left" vertical="center"/>
    </xf>
    <xf numFmtId="182" fontId="57" fillId="0" borderId="0" xfId="1" applyNumberFormat="1" applyFont="1" applyFill="1" applyBorder="1" applyAlignment="1">
      <alignment horizontal="left" vertical="center"/>
    </xf>
    <xf numFmtId="182" fontId="3" fillId="0" borderId="0" xfId="1" applyNumberFormat="1" applyFont="1" applyFill="1" applyBorder="1" applyAlignment="1"/>
    <xf numFmtId="182" fontId="3" fillId="0" borderId="7" xfId="1" applyNumberFormat="1" applyFont="1" applyFill="1" applyBorder="1"/>
    <xf numFmtId="0" fontId="2" fillId="12" borderId="0" xfId="15" applyFill="1"/>
    <xf numFmtId="0" fontId="2" fillId="0" borderId="0" xfId="16"/>
    <xf numFmtId="182" fontId="56" fillId="0" borderId="10" xfId="1" applyNumberFormat="1" applyFont="1" applyFill="1" applyBorder="1" applyAlignment="1">
      <alignment vertical="center" wrapText="1"/>
    </xf>
    <xf numFmtId="182" fontId="57" fillId="0" borderId="0" xfId="1" applyNumberFormat="1" applyFont="1" applyFill="1" applyBorder="1" applyAlignment="1">
      <alignment vertical="center" wrapText="1"/>
    </xf>
    <xf numFmtId="180" fontId="56" fillId="14" borderId="2" xfId="11" applyNumberFormat="1" applyFont="1" applyFill="1" applyBorder="1" applyAlignment="1">
      <alignment horizontal="left" vertical="center"/>
    </xf>
    <xf numFmtId="182" fontId="56" fillId="14" borderId="2" xfId="1" applyNumberFormat="1" applyFont="1" applyFill="1" applyBorder="1" applyAlignment="1">
      <alignment horizontal="left" vertical="center"/>
    </xf>
    <xf numFmtId="182" fontId="3" fillId="0" borderId="23" xfId="1" applyNumberFormat="1" applyFont="1" applyFill="1" applyBorder="1"/>
    <xf numFmtId="2" fontId="3" fillId="0" borderId="0" xfId="1" applyNumberFormat="1" applyFont="1" applyFill="1" applyBorder="1" applyAlignment="1">
      <alignment vertical="center"/>
    </xf>
    <xf numFmtId="0" fontId="3" fillId="0" borderId="16" xfId="17" applyBorder="1" applyAlignment="1">
      <alignment horizontal="left" vertical="center" wrapText="1"/>
    </xf>
    <xf numFmtId="182" fontId="50" fillId="0" borderId="0" xfId="1" applyNumberFormat="1" applyFont="1" applyFill="1" applyBorder="1" applyAlignment="1">
      <alignment vertical="center"/>
    </xf>
    <xf numFmtId="182" fontId="50" fillId="0" borderId="0" xfId="1" applyNumberFormat="1" applyFont="1" applyFill="1" applyBorder="1"/>
    <xf numFmtId="167" fontId="3" fillId="0" borderId="0" xfId="1" applyFont="1" applyFill="1" applyBorder="1" applyAlignment="1">
      <alignment vertical="center"/>
    </xf>
    <xf numFmtId="2" fontId="3" fillId="0" borderId="23" xfId="1" applyNumberFormat="1" applyFont="1" applyFill="1" applyBorder="1" applyAlignment="1">
      <alignment vertical="center"/>
    </xf>
    <xf numFmtId="170" fontId="27" fillId="0" borderId="0" xfId="0" applyFont="1" applyAlignment="1">
      <alignment vertical="center"/>
    </xf>
    <xf numFmtId="167" fontId="27" fillId="0" borderId="1" xfId="1" applyFont="1" applyFill="1" applyBorder="1" applyAlignment="1">
      <alignment horizontal="center" vertical="center" wrapText="1"/>
    </xf>
    <xf numFmtId="170" fontId="0" fillId="0" borderId="0" xfId="0" applyAlignment="1">
      <alignment vertical="center"/>
    </xf>
    <xf numFmtId="182" fontId="0" fillId="0" borderId="0" xfId="1" applyNumberFormat="1" applyFont="1" applyAlignment="1">
      <alignment vertical="center"/>
    </xf>
    <xf numFmtId="182" fontId="0" fillId="0" borderId="0" xfId="1" applyNumberFormat="1" applyFont="1" applyFill="1" applyAlignment="1">
      <alignment vertical="center"/>
    </xf>
    <xf numFmtId="1" fontId="3" fillId="0" borderId="0" xfId="0" applyNumberFormat="1" applyFont="1" applyAlignment="1">
      <alignment vertical="center"/>
    </xf>
    <xf numFmtId="1" fontId="3" fillId="0" borderId="0" xfId="0" applyNumberFormat="1" applyFont="1" applyAlignment="1">
      <alignment horizontal="left" vertical="center"/>
    </xf>
    <xf numFmtId="182" fontId="3" fillId="0" borderId="24" xfId="1" applyNumberFormat="1" applyFont="1" applyFill="1" applyBorder="1"/>
    <xf numFmtId="182" fontId="3" fillId="0" borderId="24" xfId="1" applyNumberFormat="1" applyFont="1" applyFill="1" applyBorder="1" applyAlignment="1">
      <alignment vertical="center"/>
    </xf>
    <xf numFmtId="167" fontId="3" fillId="0" borderId="24" xfId="1" applyFont="1" applyFill="1" applyBorder="1"/>
    <xf numFmtId="170" fontId="27" fillId="0" borderId="24" xfId="0" applyFont="1" applyBorder="1" applyAlignment="1">
      <alignment vertical="center"/>
    </xf>
    <xf numFmtId="180" fontId="56" fillId="0" borderId="0" xfId="11" applyNumberFormat="1" applyFont="1" applyFill="1" applyBorder="1" applyAlignment="1">
      <alignment horizontal="left" vertical="center"/>
    </xf>
    <xf numFmtId="182" fontId="56" fillId="0" borderId="0" xfId="1" applyNumberFormat="1" applyFont="1" applyFill="1" applyBorder="1" applyAlignment="1">
      <alignment horizontal="left" vertical="center"/>
    </xf>
    <xf numFmtId="170" fontId="3" fillId="0" borderId="0" xfId="0" applyFont="1" applyAlignment="1">
      <alignment vertical="center" wrapText="1"/>
    </xf>
    <xf numFmtId="182" fontId="3" fillId="0" borderId="0" xfId="1" applyNumberFormat="1" applyFont="1" applyFill="1" applyBorder="1" applyAlignment="1">
      <alignment vertical="center" wrapText="1"/>
    </xf>
    <xf numFmtId="182" fontId="25" fillId="0" borderId="0" xfId="1" applyNumberFormat="1" applyFont="1" applyFill="1" applyBorder="1"/>
    <xf numFmtId="182" fontId="3" fillId="10" borderId="0" xfId="1" applyNumberFormat="1" applyFont="1" applyFill="1" applyBorder="1"/>
    <xf numFmtId="2" fontId="3" fillId="10" borderId="0" xfId="0" applyNumberFormat="1" applyFont="1" applyFill="1"/>
    <xf numFmtId="0" fontId="27" fillId="10" borderId="1" xfId="1" applyNumberFormat="1" applyFont="1" applyFill="1" applyBorder="1"/>
    <xf numFmtId="2" fontId="3" fillId="10" borderId="9" xfId="0" applyNumberFormat="1" applyFont="1" applyFill="1" applyBorder="1"/>
    <xf numFmtId="2" fontId="3" fillId="10" borderId="9" xfId="0" applyNumberFormat="1" applyFont="1" applyFill="1" applyBorder="1" applyAlignment="1">
      <alignment horizontal="center"/>
    </xf>
    <xf numFmtId="2" fontId="3" fillId="10" borderId="11" xfId="0" applyNumberFormat="1" applyFont="1" applyFill="1" applyBorder="1"/>
    <xf numFmtId="2" fontId="3" fillId="10" borderId="15" xfId="0" applyNumberFormat="1" applyFont="1" applyFill="1" applyBorder="1"/>
    <xf numFmtId="2" fontId="3" fillId="10" borderId="1" xfId="0" applyNumberFormat="1" applyFont="1" applyFill="1" applyBorder="1"/>
    <xf numFmtId="2" fontId="3" fillId="10" borderId="12" xfId="0" applyNumberFormat="1" applyFont="1" applyFill="1" applyBorder="1"/>
    <xf numFmtId="182" fontId="3" fillId="10" borderId="13" xfId="1" applyNumberFormat="1" applyFont="1" applyFill="1" applyBorder="1"/>
    <xf numFmtId="2" fontId="3" fillId="10" borderId="24" xfId="0" applyNumberFormat="1" applyFont="1" applyFill="1" applyBorder="1"/>
    <xf numFmtId="2" fontId="50" fillId="17" borderId="15" xfId="0" applyNumberFormat="1" applyFont="1" applyFill="1" applyBorder="1"/>
    <xf numFmtId="2" fontId="3" fillId="10" borderId="2" xfId="0" applyNumberFormat="1" applyFont="1" applyFill="1" applyBorder="1"/>
    <xf numFmtId="2" fontId="50" fillId="17" borderId="0" xfId="0" applyNumberFormat="1" applyFont="1" applyFill="1"/>
    <xf numFmtId="182" fontId="3" fillId="10" borderId="4" xfId="1" applyNumberFormat="1" applyFont="1" applyFill="1" applyBorder="1" applyAlignment="1">
      <alignment wrapText="1"/>
    </xf>
    <xf numFmtId="167" fontId="49" fillId="10" borderId="2" xfId="0" applyNumberFormat="1" applyFont="1" applyFill="1" applyBorder="1" applyAlignment="1">
      <alignment vertical="center"/>
    </xf>
    <xf numFmtId="2" fontId="3" fillId="8" borderId="16" xfId="0" applyNumberFormat="1" applyFont="1" applyFill="1" applyBorder="1"/>
    <xf numFmtId="170" fontId="3" fillId="8" borderId="0" xfId="0" applyFont="1" applyFill="1"/>
    <xf numFmtId="182" fontId="3" fillId="10" borderId="4" xfId="1" applyNumberFormat="1" applyFont="1" applyFill="1" applyBorder="1"/>
    <xf numFmtId="2" fontId="52" fillId="10" borderId="2" xfId="0" applyNumberFormat="1" applyFont="1" applyFill="1" applyBorder="1"/>
    <xf numFmtId="2" fontId="3" fillId="10" borderId="16" xfId="0" applyNumberFormat="1" applyFont="1" applyFill="1" applyBorder="1"/>
    <xf numFmtId="182" fontId="3" fillId="10" borderId="7" xfId="1" applyNumberFormat="1" applyFont="1" applyFill="1" applyBorder="1"/>
    <xf numFmtId="2" fontId="52" fillId="10" borderId="1" xfId="0" applyNumberFormat="1" applyFont="1" applyFill="1" applyBorder="1"/>
    <xf numFmtId="2" fontId="3" fillId="10" borderId="10" xfId="0" applyNumberFormat="1" applyFont="1" applyFill="1" applyBorder="1"/>
    <xf numFmtId="2" fontId="3" fillId="0" borderId="15" xfId="0" applyNumberFormat="1" applyFont="1" applyBorder="1"/>
    <xf numFmtId="2" fontId="3" fillId="10" borderId="23" xfId="0" applyNumberFormat="1" applyFont="1" applyFill="1" applyBorder="1"/>
    <xf numFmtId="2" fontId="3" fillId="17" borderId="15" xfId="0" applyNumberFormat="1" applyFont="1" applyFill="1" applyBorder="1"/>
    <xf numFmtId="182" fontId="3" fillId="10" borderId="11" xfId="1" applyNumberFormat="1" applyFont="1" applyFill="1" applyBorder="1"/>
    <xf numFmtId="170" fontId="3" fillId="17" borderId="0" xfId="0" applyFont="1" applyFill="1"/>
    <xf numFmtId="2" fontId="3" fillId="17" borderId="0" xfId="0" applyNumberFormat="1" applyFont="1" applyFill="1"/>
    <xf numFmtId="2" fontId="3" fillId="17" borderId="9" xfId="0" applyNumberFormat="1" applyFont="1" applyFill="1" applyBorder="1"/>
    <xf numFmtId="170" fontId="3" fillId="0" borderId="1" xfId="0" applyFont="1" applyBorder="1" applyAlignment="1">
      <alignment horizontal="left" vertical="center" wrapText="1"/>
    </xf>
    <xf numFmtId="0" fontId="3" fillId="10" borderId="13" xfId="1" applyNumberFormat="1" applyFont="1" applyFill="1" applyBorder="1"/>
    <xf numFmtId="2" fontId="3" fillId="2" borderId="14" xfId="0" applyNumberFormat="1" applyFont="1" applyFill="1" applyBorder="1"/>
    <xf numFmtId="182" fontId="27" fillId="10" borderId="7" xfId="1" applyNumberFormat="1" applyFont="1" applyFill="1" applyBorder="1"/>
    <xf numFmtId="2" fontId="3" fillId="10" borderId="8" xfId="0" applyNumberFormat="1" applyFont="1" applyFill="1" applyBorder="1"/>
    <xf numFmtId="1" fontId="3" fillId="2" borderId="0" xfId="0" applyNumberFormat="1" applyFont="1" applyFill="1"/>
    <xf numFmtId="2" fontId="3" fillId="2" borderId="0" xfId="0" applyNumberFormat="1" applyFont="1" applyFill="1"/>
    <xf numFmtId="182" fontId="27" fillId="10" borderId="0" xfId="1" applyNumberFormat="1" applyFont="1" applyFill="1" applyBorder="1"/>
    <xf numFmtId="182" fontId="3" fillId="0" borderId="0" xfId="1" applyNumberFormat="1" applyFont="1" applyFill="1" applyBorder="1" applyAlignment="1">
      <alignment horizontal="right"/>
    </xf>
    <xf numFmtId="182" fontId="3" fillId="10" borderId="13" xfId="1" applyNumberFormat="1" applyFont="1" applyFill="1" applyBorder="1" applyAlignment="1">
      <alignment wrapText="1"/>
    </xf>
    <xf numFmtId="2" fontId="3" fillId="10" borderId="14" xfId="0" applyNumberFormat="1" applyFont="1" applyFill="1" applyBorder="1"/>
    <xf numFmtId="182" fontId="3" fillId="15" borderId="0" xfId="1" applyNumberFormat="1" applyFont="1" applyFill="1" applyBorder="1" applyAlignment="1">
      <alignment horizontal="right"/>
    </xf>
    <xf numFmtId="182" fontId="56" fillId="10" borderId="4" xfId="1" applyNumberFormat="1" applyFont="1" applyFill="1" applyBorder="1" applyAlignment="1">
      <alignment horizontal="left" vertical="justify" wrapText="1"/>
    </xf>
    <xf numFmtId="182" fontId="56" fillId="10" borderId="4" xfId="1" applyNumberFormat="1" applyFont="1" applyFill="1" applyBorder="1" applyAlignment="1">
      <alignment wrapText="1"/>
    </xf>
    <xf numFmtId="182" fontId="0" fillId="10" borderId="4" xfId="1" applyNumberFormat="1" applyFont="1" applyFill="1" applyBorder="1"/>
    <xf numFmtId="182" fontId="38" fillId="10" borderId="4" xfId="1" applyNumberFormat="1" applyFont="1" applyFill="1" applyBorder="1"/>
    <xf numFmtId="2" fontId="27" fillId="10" borderId="2" xfId="0" applyNumberFormat="1" applyFont="1" applyFill="1" applyBorder="1"/>
    <xf numFmtId="2" fontId="27" fillId="10" borderId="0" xfId="0" applyNumberFormat="1" applyFont="1" applyFill="1"/>
    <xf numFmtId="2" fontId="27" fillId="10" borderId="16" xfId="0" applyNumberFormat="1" applyFont="1" applyFill="1" applyBorder="1"/>
    <xf numFmtId="182" fontId="3" fillId="10" borderId="4" xfId="1" applyNumberFormat="1" applyFont="1" applyFill="1" applyBorder="1" applyAlignment="1">
      <alignment horizontal="left" wrapText="1"/>
    </xf>
    <xf numFmtId="182" fontId="55" fillId="15" borderId="0" xfId="1" applyNumberFormat="1" applyFont="1" applyFill="1" applyBorder="1" applyAlignment="1">
      <alignment horizontal="right"/>
    </xf>
    <xf numFmtId="182" fontId="55" fillId="10" borderId="4" xfId="1" applyNumberFormat="1" applyFont="1" applyFill="1" applyBorder="1" applyAlignment="1">
      <alignment horizontal="left"/>
    </xf>
    <xf numFmtId="182" fontId="38" fillId="10" borderId="11" xfId="1" applyNumberFormat="1" applyFont="1" applyFill="1" applyBorder="1"/>
    <xf numFmtId="2" fontId="27" fillId="10" borderId="1" xfId="0" applyNumberFormat="1" applyFont="1" applyFill="1" applyBorder="1"/>
    <xf numFmtId="2" fontId="27" fillId="10" borderId="15" xfId="0" applyNumberFormat="1" applyFont="1" applyFill="1" applyBorder="1"/>
    <xf numFmtId="2" fontId="27" fillId="10" borderId="12" xfId="0" applyNumberFormat="1" applyFont="1" applyFill="1" applyBorder="1"/>
    <xf numFmtId="170" fontId="3" fillId="15" borderId="0" xfId="0" applyFont="1" applyFill="1"/>
    <xf numFmtId="2" fontId="3" fillId="15" borderId="0" xfId="0" applyNumberFormat="1" applyFont="1" applyFill="1"/>
    <xf numFmtId="182" fontId="3" fillId="0" borderId="0" xfId="1" applyNumberFormat="1" applyFont="1" applyFill="1" applyBorder="1" applyAlignment="1">
      <alignment horizontal="left" wrapText="1"/>
    </xf>
    <xf numFmtId="182" fontId="38" fillId="0" borderId="0" xfId="1" applyNumberFormat="1" applyFont="1" applyFill="1" applyBorder="1"/>
    <xf numFmtId="182" fontId="3" fillId="14" borderId="0" xfId="1" applyNumberFormat="1" applyFont="1" applyFill="1" applyBorder="1" applyAlignment="1">
      <alignment horizontal="right"/>
    </xf>
    <xf numFmtId="3" fontId="3" fillId="0" borderId="0" xfId="0" applyNumberFormat="1" applyFont="1"/>
    <xf numFmtId="170" fontId="18" fillId="0" borderId="1" xfId="0" applyFont="1" applyBorder="1" applyAlignment="1">
      <alignment horizontal="center" vertical="center" wrapText="1"/>
    </xf>
    <xf numFmtId="167" fontId="18" fillId="0" borderId="1" xfId="1" applyFont="1" applyBorder="1" applyAlignment="1">
      <alignment horizontal="center" vertical="center"/>
    </xf>
    <xf numFmtId="182" fontId="18" fillId="0" borderId="1" xfId="1" applyNumberFormat="1" applyFont="1" applyBorder="1" applyAlignment="1">
      <alignment horizontal="center" vertical="center"/>
    </xf>
    <xf numFmtId="2" fontId="3" fillId="0" borderId="1"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2" fontId="3" fillId="0" borderId="4" xfId="0" applyNumberFormat="1" applyFont="1" applyBorder="1"/>
    <xf numFmtId="170" fontId="0" fillId="0" borderId="1" xfId="0" applyBorder="1" applyAlignment="1">
      <alignment vertical="center"/>
    </xf>
    <xf numFmtId="0" fontId="27" fillId="0" borderId="1" xfId="1" applyNumberFormat="1" applyFont="1" applyFill="1" applyBorder="1" applyAlignment="1">
      <alignment vertical="center"/>
    </xf>
    <xf numFmtId="182" fontId="0" fillId="0" borderId="1" xfId="1" applyNumberFormat="1" applyFont="1" applyFill="1" applyBorder="1" applyAlignment="1">
      <alignment vertical="center" wrapText="1"/>
    </xf>
    <xf numFmtId="167" fontId="3" fillId="15" borderId="1" xfId="1" applyFont="1" applyFill="1" applyBorder="1" applyAlignment="1">
      <alignment vertical="center"/>
    </xf>
    <xf numFmtId="167" fontId="3" fillId="0" borderId="1" xfId="1" applyFont="1" applyFill="1" applyBorder="1" applyAlignment="1">
      <alignment vertical="center"/>
    </xf>
    <xf numFmtId="167" fontId="60" fillId="0" borderId="1" xfId="1" applyFont="1" applyFill="1" applyBorder="1" applyAlignment="1">
      <alignment vertical="center"/>
    </xf>
    <xf numFmtId="167" fontId="60" fillId="15" borderId="1" xfId="1" applyFont="1" applyFill="1" applyBorder="1" applyAlignment="1">
      <alignment vertical="center"/>
    </xf>
    <xf numFmtId="167" fontId="60" fillId="0" borderId="11" xfId="1" applyFont="1" applyFill="1" applyBorder="1"/>
    <xf numFmtId="183" fontId="3" fillId="0" borderId="1" xfId="1" applyNumberFormat="1" applyFont="1" applyFill="1" applyBorder="1" applyAlignment="1">
      <alignment vertical="center"/>
    </xf>
    <xf numFmtId="2" fontId="60" fillId="0" borderId="1" xfId="0" applyNumberFormat="1" applyFont="1" applyBorder="1" applyAlignment="1">
      <alignment vertical="center"/>
    </xf>
    <xf numFmtId="2" fontId="60" fillId="15" borderId="1" xfId="0" applyNumberFormat="1" applyFont="1" applyFill="1" applyBorder="1" applyAlignment="1">
      <alignment vertical="center"/>
    </xf>
    <xf numFmtId="2" fontId="60" fillId="0" borderId="11" xfId="0" applyNumberFormat="1" applyFont="1" applyBorder="1"/>
    <xf numFmtId="183" fontId="3" fillId="15" borderId="1" xfId="1" applyNumberFormat="1" applyFont="1" applyFill="1" applyBorder="1" applyAlignment="1">
      <alignment vertical="center"/>
    </xf>
    <xf numFmtId="0" fontId="0" fillId="0" borderId="1" xfId="1" applyNumberFormat="1" applyFont="1" applyFill="1" applyBorder="1" applyAlignment="1">
      <alignment vertical="center"/>
    </xf>
    <xf numFmtId="2" fontId="3" fillId="0" borderId="4" xfId="0" applyNumberFormat="1" applyFont="1" applyBorder="1" applyAlignment="1">
      <alignment horizontal="center" vertical="center" wrapText="1"/>
    </xf>
    <xf numFmtId="183" fontId="3" fillId="3" borderId="1" xfId="1" applyNumberFormat="1" applyFont="1" applyFill="1" applyBorder="1" applyAlignment="1">
      <alignment vertical="center"/>
    </xf>
    <xf numFmtId="167" fontId="3" fillId="2" borderId="1" xfId="1" applyFont="1" applyFill="1" applyBorder="1" applyAlignment="1">
      <alignment vertical="center"/>
    </xf>
    <xf numFmtId="183" fontId="3" fillId="2" borderId="1" xfId="1" applyNumberFormat="1" applyFont="1" applyFill="1" applyBorder="1" applyAlignment="1">
      <alignment vertical="center"/>
    </xf>
    <xf numFmtId="182" fontId="0" fillId="0" borderId="2" xfId="0" applyNumberFormat="1" applyBorder="1" applyAlignment="1">
      <alignment vertical="center" wrapText="1"/>
    </xf>
    <xf numFmtId="167" fontId="0" fillId="0" borderId="1" xfId="1" applyFont="1" applyFill="1" applyBorder="1" applyAlignment="1">
      <alignment vertical="center"/>
    </xf>
    <xf numFmtId="167" fontId="18" fillId="0" borderId="1" xfId="1" applyFont="1" applyFill="1" applyBorder="1" applyAlignment="1">
      <alignment vertical="center"/>
    </xf>
    <xf numFmtId="182" fontId="18" fillId="0" borderId="1" xfId="1" applyNumberFormat="1" applyFont="1" applyFill="1" applyBorder="1" applyAlignment="1">
      <alignment vertical="center" wrapText="1"/>
    </xf>
    <xf numFmtId="183" fontId="61" fillId="0" borderId="1" xfId="1" applyNumberFormat="1" applyFont="1" applyFill="1" applyBorder="1" applyAlignment="1">
      <alignment vertical="center"/>
    </xf>
    <xf numFmtId="167" fontId="61" fillId="0" borderId="1" xfId="1" applyFont="1" applyFill="1" applyBorder="1" applyAlignment="1">
      <alignment vertical="center"/>
    </xf>
    <xf numFmtId="0" fontId="0" fillId="12" borderId="1" xfId="1" applyNumberFormat="1" applyFont="1" applyFill="1" applyBorder="1" applyAlignment="1">
      <alignment vertical="center"/>
    </xf>
    <xf numFmtId="170" fontId="0" fillId="0" borderId="11" xfId="0" applyBorder="1" applyAlignment="1">
      <alignment horizontal="left" vertical="center"/>
    </xf>
    <xf numFmtId="170" fontId="0" fillId="0" borderId="12" xfId="0" applyBorder="1" applyAlignment="1">
      <alignment horizontal="left" vertical="center"/>
    </xf>
    <xf numFmtId="170" fontId="27" fillId="0" borderId="1" xfId="0" applyFont="1" applyBorder="1" applyAlignment="1">
      <alignment vertical="center"/>
    </xf>
    <xf numFmtId="170" fontId="27" fillId="0" borderId="1" xfId="0" applyFont="1" applyBorder="1"/>
    <xf numFmtId="167" fontId="0" fillId="0" borderId="12" xfId="1" applyFont="1" applyFill="1" applyBorder="1" applyAlignment="1">
      <alignment horizontal="left" vertical="center"/>
    </xf>
    <xf numFmtId="183" fontId="50" fillId="0" borderId="1" xfId="1" applyNumberFormat="1" applyFont="1" applyFill="1" applyBorder="1" applyAlignment="1">
      <alignment vertical="center"/>
    </xf>
    <xf numFmtId="183" fontId="62" fillId="3" borderId="1" xfId="1" applyNumberFormat="1" applyFont="1" applyFill="1" applyBorder="1" applyAlignment="1">
      <alignment vertical="center"/>
    </xf>
    <xf numFmtId="167" fontId="62" fillId="3" borderId="1" xfId="1" applyFont="1" applyFill="1" applyBorder="1" applyAlignment="1">
      <alignment vertical="center"/>
    </xf>
    <xf numFmtId="167" fontId="18" fillId="0" borderId="1" xfId="1" applyFont="1" applyBorder="1" applyAlignment="1">
      <alignment horizontal="center" vertical="center" wrapText="1"/>
    </xf>
    <xf numFmtId="182" fontId="18" fillId="0" borderId="1" xfId="1" applyNumberFormat="1" applyFont="1" applyBorder="1" applyAlignment="1">
      <alignment horizontal="center" vertical="center" wrapText="1"/>
    </xf>
    <xf numFmtId="170" fontId="0" fillId="0" borderId="1" xfId="0" applyBorder="1" applyAlignment="1">
      <alignment horizontal="center" vertical="center"/>
    </xf>
    <xf numFmtId="182" fontId="0" fillId="0" borderId="1" xfId="1" applyNumberFormat="1" applyFont="1" applyBorder="1" applyAlignment="1">
      <alignment vertical="center" wrapText="1"/>
    </xf>
    <xf numFmtId="2" fontId="3" fillId="15" borderId="1" xfId="0" applyNumberFormat="1" applyFont="1" applyFill="1" applyBorder="1" applyAlignment="1">
      <alignment vertical="center"/>
    </xf>
    <xf numFmtId="2" fontId="3" fillId="0" borderId="1" xfId="0" applyNumberFormat="1" applyFont="1" applyBorder="1"/>
    <xf numFmtId="2" fontId="3" fillId="3" borderId="0" xfId="0" applyNumberFormat="1" applyFont="1" applyFill="1" applyAlignment="1">
      <alignment horizontal="center" vertical="center" wrapText="1"/>
    </xf>
    <xf numFmtId="170" fontId="0" fillId="2" borderId="1" xfId="0" applyFill="1" applyBorder="1"/>
    <xf numFmtId="170" fontId="0" fillId="2" borderId="1" xfId="0" applyFill="1" applyBorder="1" applyAlignment="1">
      <alignment horizontal="right"/>
    </xf>
    <xf numFmtId="167" fontId="63" fillId="0" borderId="1" xfId="1" applyFont="1" applyBorder="1" applyAlignment="1">
      <alignment vertical="center"/>
    </xf>
    <xf numFmtId="183" fontId="63" fillId="0" borderId="1" xfId="1" applyNumberFormat="1" applyFont="1" applyBorder="1" applyAlignment="1">
      <alignment vertical="center"/>
    </xf>
    <xf numFmtId="167" fontId="3" fillId="15" borderId="1" xfId="1" applyFont="1" applyFill="1" applyBorder="1" applyAlignment="1">
      <alignment horizontal="center" vertical="center"/>
    </xf>
    <xf numFmtId="170" fontId="3" fillId="0" borderId="11" xfId="0" applyFont="1" applyBorder="1" applyAlignment="1">
      <alignment horizontal="left" vertical="center"/>
    </xf>
    <xf numFmtId="167" fontId="0" fillId="0" borderId="12" xfId="1" applyFont="1" applyBorder="1" applyAlignment="1">
      <alignment horizontal="left" vertical="center"/>
    </xf>
    <xf numFmtId="170" fontId="0" fillId="0" borderId="1" xfId="0" applyBorder="1"/>
    <xf numFmtId="182" fontId="3" fillId="15" borderId="1" xfId="1" applyNumberFormat="1" applyFont="1" applyFill="1" applyBorder="1" applyAlignment="1">
      <alignment horizontal="center" vertical="center"/>
    </xf>
    <xf numFmtId="167" fontId="60" fillId="0" borderId="1" xfId="1" applyFont="1" applyBorder="1" applyAlignment="1">
      <alignment vertical="center"/>
    </xf>
    <xf numFmtId="183" fontId="60" fillId="0" borderId="1" xfId="0" applyNumberFormat="1" applyFont="1" applyBorder="1" applyAlignment="1">
      <alignment vertical="center"/>
    </xf>
    <xf numFmtId="0" fontId="0" fillId="0" borderId="0" xfId="1" applyNumberFormat="1" applyFont="1" applyFill="1" applyBorder="1"/>
    <xf numFmtId="167" fontId="0" fillId="0" borderId="0" xfId="1" applyFont="1"/>
    <xf numFmtId="182" fontId="0" fillId="0" borderId="0" xfId="1" applyNumberFormat="1" applyFont="1" applyFill="1" applyBorder="1"/>
    <xf numFmtId="0" fontId="23" fillId="0" borderId="1" xfId="12" applyFont="1" applyBorder="1" applyAlignment="1">
      <alignment vertical="center"/>
    </xf>
    <xf numFmtId="170" fontId="0" fillId="0" borderId="12" xfId="0" applyBorder="1"/>
    <xf numFmtId="0" fontId="0" fillId="0" borderId="12" xfId="1" applyNumberFormat="1" applyFont="1" applyFill="1" applyBorder="1"/>
    <xf numFmtId="167" fontId="0" fillId="0" borderId="12" xfId="1" applyFont="1" applyBorder="1"/>
    <xf numFmtId="167" fontId="27" fillId="0" borderId="8" xfId="1" applyFont="1" applyBorder="1" applyAlignment="1">
      <alignment horizontal="right"/>
    </xf>
    <xf numFmtId="170" fontId="50" fillId="0" borderId="0" xfId="0" applyFont="1"/>
    <xf numFmtId="170" fontId="27" fillId="0" borderId="10" xfId="0" applyFont="1" applyBorder="1"/>
    <xf numFmtId="1" fontId="22" fillId="0" borderId="8" xfId="11" applyNumberFormat="1" applyFont="1" applyFill="1" applyBorder="1"/>
    <xf numFmtId="0" fontId="28" fillId="0" borderId="8" xfId="1" applyNumberFormat="1" applyFont="1" applyFill="1" applyBorder="1" applyAlignment="1">
      <alignment horizontal="center" vertical="center"/>
    </xf>
    <xf numFmtId="170" fontId="27" fillId="0" borderId="2" xfId="0" applyFont="1" applyBorder="1"/>
    <xf numFmtId="1" fontId="27" fillId="0" borderId="16" xfId="0" applyNumberFormat="1" applyFont="1" applyBorder="1"/>
    <xf numFmtId="0" fontId="27" fillId="0" borderId="16" xfId="1" applyNumberFormat="1" applyFont="1" applyFill="1" applyBorder="1"/>
    <xf numFmtId="167" fontId="27" fillId="0" borderId="16" xfId="1" applyFont="1" applyBorder="1"/>
    <xf numFmtId="167" fontId="0" fillId="0" borderId="2" xfId="1" applyFont="1" applyBorder="1"/>
    <xf numFmtId="167" fontId="0" fillId="0" borderId="16" xfId="1" applyFont="1" applyBorder="1"/>
    <xf numFmtId="170" fontId="0" fillId="0" borderId="2" xfId="0" applyBorder="1"/>
    <xf numFmtId="1" fontId="22" fillId="0" borderId="16" xfId="11" applyNumberFormat="1" applyFont="1" applyFill="1" applyBorder="1"/>
    <xf numFmtId="0" fontId="22" fillId="0" borderId="16" xfId="1" applyNumberFormat="1" applyFont="1" applyFill="1" applyBorder="1"/>
    <xf numFmtId="0" fontId="26" fillId="0" borderId="16" xfId="1" applyNumberFormat="1" applyFont="1" applyFill="1" applyBorder="1" applyAlignment="1">
      <alignment horizontal="left" indent="1"/>
    </xf>
    <xf numFmtId="167" fontId="0" fillId="0" borderId="16" xfId="1" applyFont="1" applyFill="1" applyBorder="1"/>
    <xf numFmtId="0" fontId="64" fillId="0" borderId="2" xfId="4" applyFont="1" applyBorder="1" applyAlignment="1">
      <alignment horizontal="right"/>
    </xf>
    <xf numFmtId="0" fontId="25" fillId="0" borderId="16" xfId="1" applyNumberFormat="1" applyFont="1" applyFill="1" applyBorder="1" applyAlignment="1">
      <alignment horizontal="left" indent="1"/>
    </xf>
    <xf numFmtId="0" fontId="26" fillId="0" borderId="16" xfId="1" applyNumberFormat="1" applyFont="1" applyFill="1" applyBorder="1" applyAlignment="1"/>
    <xf numFmtId="167" fontId="26" fillId="0" borderId="16" xfId="1" applyFont="1" applyFill="1" applyBorder="1" applyAlignment="1"/>
    <xf numFmtId="0" fontId="22" fillId="0" borderId="16" xfId="1" applyNumberFormat="1" applyFont="1" applyFill="1" applyBorder="1" applyAlignment="1">
      <alignment horizontal="left" indent="1"/>
    </xf>
    <xf numFmtId="1" fontId="3" fillId="0" borderId="16" xfId="0" applyNumberFormat="1" applyFont="1" applyBorder="1" applyAlignment="1">
      <alignment horizontal="right"/>
    </xf>
    <xf numFmtId="0" fontId="0" fillId="0" borderId="16" xfId="1" applyNumberFormat="1" applyFont="1" applyFill="1" applyBorder="1"/>
    <xf numFmtId="167" fontId="3" fillId="0" borderId="2" xfId="1" applyFont="1" applyBorder="1" applyAlignment="1">
      <alignment horizontal="right"/>
    </xf>
    <xf numFmtId="167" fontId="3" fillId="0" borderId="16" xfId="1" applyFont="1" applyBorder="1" applyAlignment="1">
      <alignment horizontal="right"/>
    </xf>
    <xf numFmtId="1" fontId="3" fillId="0" borderId="0" xfId="0" applyNumberFormat="1" applyFont="1" applyAlignment="1">
      <alignment horizontal="right"/>
    </xf>
    <xf numFmtId="0" fontId="26" fillId="0" borderId="16" xfId="1" applyNumberFormat="1" applyFont="1" applyFill="1" applyBorder="1"/>
    <xf numFmtId="0" fontId="22" fillId="0" borderId="16" xfId="1" applyNumberFormat="1" applyFont="1" applyFill="1" applyBorder="1" applyAlignment="1">
      <alignment wrapText="1"/>
    </xf>
    <xf numFmtId="0" fontId="22" fillId="0" borderId="16" xfId="1" applyNumberFormat="1" applyFont="1" applyFill="1" applyBorder="1" applyAlignment="1"/>
    <xf numFmtId="0" fontId="2" fillId="0" borderId="0" xfId="18"/>
    <xf numFmtId="170" fontId="0" fillId="8" borderId="0" xfId="0" applyFill="1"/>
    <xf numFmtId="0" fontId="55" fillId="0" borderId="16" xfId="1" applyNumberFormat="1" applyFont="1" applyFill="1" applyBorder="1" applyAlignment="1">
      <alignment horizontal="left"/>
    </xf>
    <xf numFmtId="0" fontId="3" fillId="0" borderId="16" xfId="1" applyNumberFormat="1" applyFont="1" applyFill="1" applyBorder="1"/>
    <xf numFmtId="0" fontId="3" fillId="0" borderId="16" xfId="1" applyNumberFormat="1" applyFont="1" applyFill="1" applyBorder="1" applyAlignment="1">
      <alignment horizontal="right"/>
    </xf>
    <xf numFmtId="186" fontId="0" fillId="0" borderId="0" xfId="0" applyNumberFormat="1"/>
    <xf numFmtId="167" fontId="3" fillId="0" borderId="2" xfId="1" applyFont="1" applyBorder="1"/>
    <xf numFmtId="170" fontId="27" fillId="8" borderId="0" xfId="0" applyFont="1" applyFill="1"/>
    <xf numFmtId="1" fontId="26" fillId="0" borderId="16" xfId="11" applyNumberFormat="1" applyFont="1" applyFill="1" applyBorder="1"/>
    <xf numFmtId="182" fontId="0" fillId="0" borderId="16" xfId="1" applyNumberFormat="1" applyFont="1" applyFill="1" applyBorder="1"/>
    <xf numFmtId="182" fontId="0" fillId="0" borderId="16" xfId="1" applyNumberFormat="1" applyFont="1" applyBorder="1"/>
    <xf numFmtId="167" fontId="27" fillId="0" borderId="2" xfId="1" applyFont="1" applyBorder="1"/>
    <xf numFmtId="204" fontId="0" fillId="8" borderId="0" xfId="0" applyNumberFormat="1" applyFill="1"/>
    <xf numFmtId="167" fontId="0" fillId="0" borderId="0" xfId="1" applyFont="1" applyFill="1" applyBorder="1"/>
    <xf numFmtId="205" fontId="0" fillId="0" borderId="0" xfId="0" applyNumberFormat="1"/>
    <xf numFmtId="3" fontId="0" fillId="0" borderId="0" xfId="0" applyNumberFormat="1"/>
    <xf numFmtId="167" fontId="0" fillId="0" borderId="2" xfId="1" applyFont="1" applyFill="1" applyBorder="1"/>
    <xf numFmtId="170" fontId="0" fillId="11" borderId="2" xfId="0" applyFill="1" applyBorder="1"/>
    <xf numFmtId="170" fontId="0" fillId="11" borderId="0" xfId="0" applyFill="1"/>
    <xf numFmtId="170" fontId="27" fillId="11" borderId="2" xfId="0" applyFont="1" applyFill="1" applyBorder="1"/>
    <xf numFmtId="167" fontId="0" fillId="11" borderId="16" xfId="1" applyFont="1" applyFill="1" applyBorder="1"/>
    <xf numFmtId="167" fontId="0" fillId="11" borderId="2" xfId="1" applyFont="1" applyFill="1" applyBorder="1"/>
    <xf numFmtId="0" fontId="26" fillId="0" borderId="2" xfId="1" applyNumberFormat="1" applyFont="1" applyFill="1" applyBorder="1" applyAlignment="1">
      <alignment horizontal="left" indent="1"/>
    </xf>
    <xf numFmtId="170" fontId="58" fillId="15" borderId="2" xfId="0" applyFont="1" applyFill="1" applyBorder="1"/>
    <xf numFmtId="1" fontId="65" fillId="0" borderId="16" xfId="11" applyNumberFormat="1" applyFont="1" applyFill="1" applyBorder="1"/>
    <xf numFmtId="0" fontId="50" fillId="0" borderId="16" xfId="1" applyNumberFormat="1" applyFont="1" applyFill="1" applyBorder="1"/>
    <xf numFmtId="167" fontId="50" fillId="0" borderId="16" xfId="1" applyFont="1" applyBorder="1"/>
    <xf numFmtId="0" fontId="22" fillId="0" borderId="16" xfId="1" applyNumberFormat="1" applyFont="1" applyFill="1" applyBorder="1" applyAlignment="1">
      <alignment horizontal="left" vertical="center" wrapText="1"/>
    </xf>
    <xf numFmtId="167" fontId="0" fillId="13" borderId="2" xfId="1" applyFont="1" applyFill="1" applyBorder="1"/>
    <xf numFmtId="170" fontId="0" fillId="13" borderId="0" xfId="0" applyFill="1"/>
    <xf numFmtId="197" fontId="0" fillId="0" borderId="16" xfId="1" applyNumberFormat="1" applyFont="1" applyBorder="1"/>
    <xf numFmtId="167" fontId="27" fillId="19" borderId="16" xfId="1" applyFont="1" applyFill="1" applyBorder="1"/>
    <xf numFmtId="180" fontId="0" fillId="0" borderId="0" xfId="0" applyNumberFormat="1"/>
    <xf numFmtId="0" fontId="0" fillId="0" borderId="16" xfId="1" applyNumberFormat="1" applyFont="1" applyBorder="1"/>
    <xf numFmtId="167" fontId="0" fillId="0" borderId="16" xfId="1" applyFont="1" applyBorder="1" applyAlignment="1">
      <alignment horizontal="center" vertical="center"/>
    </xf>
    <xf numFmtId="43" fontId="27" fillId="14" borderId="10" xfId="0" applyNumberFormat="1" applyFont="1" applyFill="1" applyBorder="1" applyAlignment="1">
      <alignment vertical="center"/>
    </xf>
    <xf numFmtId="186" fontId="0" fillId="8" borderId="0" xfId="0" applyNumberFormat="1" applyFill="1"/>
    <xf numFmtId="170" fontId="66" fillId="0" borderId="2" xfId="0" applyFont="1" applyBorder="1"/>
    <xf numFmtId="1" fontId="44" fillId="0" borderId="16" xfId="11" applyNumberFormat="1" applyFont="1" applyFill="1" applyBorder="1"/>
    <xf numFmtId="0" fontId="20" fillId="0" borderId="16" xfId="1" applyNumberFormat="1" applyFont="1" applyFill="1" applyBorder="1"/>
    <xf numFmtId="167" fontId="20" fillId="0" borderId="16" xfId="1" applyFont="1" applyBorder="1"/>
    <xf numFmtId="167" fontId="20" fillId="0" borderId="2" xfId="1" applyFont="1" applyBorder="1"/>
    <xf numFmtId="0" fontId="27" fillId="0" borderId="16" xfId="1" applyNumberFormat="1" applyFont="1" applyFill="1" applyBorder="1" applyAlignment="1">
      <alignment wrapText="1"/>
    </xf>
    <xf numFmtId="167" fontId="0" fillId="13" borderId="0" xfId="1" applyFont="1" applyFill="1" applyBorder="1"/>
    <xf numFmtId="189" fontId="0" fillId="0" borderId="16" xfId="1" applyNumberFormat="1" applyFont="1" applyBorder="1"/>
    <xf numFmtId="170" fontId="0" fillId="0" borderId="16" xfId="0" applyBorder="1"/>
    <xf numFmtId="167" fontId="3" fillId="20" borderId="16" xfId="1" applyFont="1" applyFill="1" applyBorder="1"/>
    <xf numFmtId="0" fontId="29" fillId="0" borderId="16" xfId="1" applyNumberFormat="1" applyFont="1" applyFill="1" applyBorder="1"/>
    <xf numFmtId="180" fontId="0" fillId="13" borderId="0" xfId="0" applyNumberFormat="1" applyFill="1"/>
    <xf numFmtId="0" fontId="2" fillId="0" borderId="0" xfId="19"/>
    <xf numFmtId="186" fontId="0" fillId="0" borderId="16" xfId="0" applyNumberFormat="1" applyBorder="1"/>
    <xf numFmtId="167" fontId="0" fillId="3" borderId="16" xfId="1" applyFont="1" applyFill="1" applyBorder="1"/>
    <xf numFmtId="183" fontId="0" fillId="0" borderId="0" xfId="1" applyNumberFormat="1" applyFont="1" applyFill="1" applyBorder="1"/>
    <xf numFmtId="206" fontId="0" fillId="0" borderId="0" xfId="0" applyNumberFormat="1"/>
    <xf numFmtId="170" fontId="27" fillId="0" borderId="16" xfId="0" applyFont="1" applyBorder="1" applyAlignment="1">
      <alignment vertical="center"/>
    </xf>
    <xf numFmtId="0" fontId="27" fillId="0" borderId="2" xfId="1" applyNumberFormat="1" applyFont="1" applyFill="1" applyBorder="1"/>
    <xf numFmtId="170" fontId="27" fillId="0" borderId="2" xfId="0" applyFont="1" applyBorder="1" applyAlignment="1">
      <alignment horizontal="left"/>
    </xf>
    <xf numFmtId="170" fontId="0" fillId="0" borderId="10" xfId="0" applyBorder="1"/>
    <xf numFmtId="170" fontId="0" fillId="0" borderId="23" xfId="0" applyBorder="1"/>
    <xf numFmtId="170" fontId="27" fillId="0" borderId="10" xfId="0" applyFont="1" applyBorder="1" applyAlignment="1">
      <alignment horizontal="left"/>
    </xf>
    <xf numFmtId="167" fontId="0" fillId="0" borderId="8" xfId="1" applyFont="1" applyBorder="1"/>
    <xf numFmtId="167" fontId="0" fillId="0" borderId="10" xfId="1" applyFont="1" applyBorder="1"/>
    <xf numFmtId="170" fontId="3" fillId="0" borderId="14" xfId="0" applyFont="1" applyBorder="1" applyAlignment="1">
      <alignment vertical="center"/>
    </xf>
    <xf numFmtId="170" fontId="3" fillId="0" borderId="16" xfId="0" applyFont="1" applyBorder="1" applyAlignment="1">
      <alignment vertical="center"/>
    </xf>
    <xf numFmtId="170" fontId="30" fillId="0" borderId="0" xfId="0" applyFont="1" applyAlignment="1">
      <alignment vertical="center"/>
    </xf>
    <xf numFmtId="170" fontId="27" fillId="0" borderId="11" xfId="0" applyFont="1" applyBorder="1" applyAlignment="1">
      <alignment vertical="center"/>
    </xf>
    <xf numFmtId="170" fontId="27" fillId="0" borderId="12" xfId="0" applyFont="1" applyBorder="1" applyAlignment="1">
      <alignment vertical="center"/>
    </xf>
    <xf numFmtId="167" fontId="38" fillId="0" borderId="0" xfId="1" applyFont="1" applyFill="1" applyBorder="1" applyAlignment="1">
      <alignment horizontal="center" vertical="center"/>
    </xf>
    <xf numFmtId="170" fontId="50" fillId="0" borderId="0" xfId="0" applyFont="1" applyAlignment="1">
      <alignment vertical="center"/>
    </xf>
    <xf numFmtId="170" fontId="3" fillId="0" borderId="11" xfId="0" applyFont="1" applyBorder="1" applyAlignment="1">
      <alignment vertical="center"/>
    </xf>
    <xf numFmtId="167" fontId="36" fillId="0" borderId="0" xfId="1" applyFont="1" applyFill="1" applyBorder="1" applyAlignment="1">
      <alignment horizontal="center" vertical="center"/>
    </xf>
    <xf numFmtId="167" fontId="23" fillId="0" borderId="0" xfId="1" applyFont="1" applyFill="1" applyBorder="1" applyAlignment="1">
      <alignment horizontal="center" vertical="center"/>
    </xf>
    <xf numFmtId="170" fontId="3" fillId="0" borderId="16" xfId="0" applyFont="1" applyBorder="1" applyAlignment="1">
      <alignment horizontal="right" vertical="center"/>
    </xf>
    <xf numFmtId="207" fontId="3" fillId="0" borderId="0" xfId="0" applyNumberFormat="1" applyFont="1" applyAlignment="1">
      <alignment vertical="center"/>
    </xf>
    <xf numFmtId="2" fontId="67" fillId="0" borderId="0" xfId="0" applyNumberFormat="1" applyFont="1" applyAlignment="1">
      <alignment vertical="center"/>
    </xf>
    <xf numFmtId="170" fontId="67" fillId="0" borderId="0" xfId="0" applyFont="1" applyAlignment="1">
      <alignment vertical="center"/>
    </xf>
    <xf numFmtId="167" fontId="66" fillId="0" borderId="1" xfId="1" applyFont="1" applyFill="1" applyBorder="1" applyAlignment="1">
      <alignment vertical="center"/>
    </xf>
    <xf numFmtId="167" fontId="27" fillId="0" borderId="1" xfId="1" applyFont="1" applyFill="1" applyBorder="1" applyAlignment="1">
      <alignment vertical="center"/>
    </xf>
    <xf numFmtId="167" fontId="3" fillId="3" borderId="0" xfId="1" applyFont="1" applyFill="1" applyAlignment="1">
      <alignment vertical="center"/>
    </xf>
    <xf numFmtId="167" fontId="20" fillId="0" borderId="1" xfId="1" applyFont="1" applyFill="1" applyBorder="1" applyAlignment="1">
      <alignment vertical="center"/>
    </xf>
    <xf numFmtId="43" fontId="50" fillId="0" borderId="0" xfId="0" applyNumberFormat="1" applyFont="1" applyAlignment="1">
      <alignment vertical="center"/>
    </xf>
    <xf numFmtId="43" fontId="67" fillId="0" borderId="0" xfId="0" applyNumberFormat="1" applyFont="1" applyAlignment="1">
      <alignment vertical="center"/>
    </xf>
    <xf numFmtId="43" fontId="3" fillId="0" borderId="0" xfId="0" applyNumberFormat="1" applyFont="1" applyAlignment="1">
      <alignment vertical="center"/>
    </xf>
    <xf numFmtId="167" fontId="67" fillId="0" borderId="1" xfId="1" applyFont="1" applyFill="1" applyBorder="1" applyAlignment="1">
      <alignment vertical="center"/>
    </xf>
    <xf numFmtId="167" fontId="67" fillId="0" borderId="0" xfId="1" applyFont="1" applyFill="1" applyBorder="1" applyAlignment="1">
      <alignment vertical="center"/>
    </xf>
    <xf numFmtId="170" fontId="3" fillId="3" borderId="0" xfId="0" applyFont="1" applyFill="1" applyAlignment="1">
      <alignment vertical="center"/>
    </xf>
    <xf numFmtId="43" fontId="3" fillId="3" borderId="0" xfId="0" applyNumberFormat="1" applyFont="1" applyFill="1" applyAlignment="1">
      <alignment vertical="center"/>
    </xf>
    <xf numFmtId="43" fontId="67" fillId="0" borderId="16" xfId="0" applyNumberFormat="1" applyFont="1" applyBorder="1" applyAlignment="1">
      <alignment vertical="center"/>
    </xf>
    <xf numFmtId="208" fontId="3" fillId="0" borderId="0" xfId="0" applyNumberFormat="1" applyFont="1" applyAlignment="1">
      <alignment vertical="center"/>
    </xf>
    <xf numFmtId="170" fontId="27" fillId="0" borderId="0" xfId="0" applyFont="1" applyAlignment="1">
      <alignment horizontal="left" vertical="center"/>
    </xf>
    <xf numFmtId="183" fontId="3" fillId="0" borderId="0" xfId="1" applyNumberFormat="1" applyFont="1" applyFill="1" applyBorder="1" applyAlignment="1">
      <alignment vertical="center"/>
    </xf>
    <xf numFmtId="182" fontId="3" fillId="0" borderId="0" xfId="0" applyNumberFormat="1" applyFont="1" applyAlignment="1">
      <alignment vertical="center"/>
    </xf>
    <xf numFmtId="4" fontId="3" fillId="0" borderId="0" xfId="0" applyNumberFormat="1" applyFont="1" applyAlignment="1">
      <alignment vertical="center"/>
    </xf>
    <xf numFmtId="183" fontId="3" fillId="0" borderId="0" xfId="1" applyNumberFormat="1" applyFont="1" applyFill="1" applyBorder="1" applyAlignment="1">
      <alignment horizontal="center" vertical="center"/>
    </xf>
    <xf numFmtId="183" fontId="3" fillId="0" borderId="0" xfId="1" applyNumberFormat="1" applyFont="1" applyFill="1" applyBorder="1" applyAlignment="1">
      <alignment horizontal="right" vertical="center"/>
    </xf>
    <xf numFmtId="170" fontId="27" fillId="5" borderId="4" xfId="0" applyFont="1" applyFill="1" applyBorder="1" applyAlignment="1">
      <alignment vertical="center"/>
    </xf>
    <xf numFmtId="170" fontId="3" fillId="0" borderId="0" xfId="0" applyFont="1" applyAlignment="1">
      <alignment horizontal="center" vertical="center"/>
    </xf>
    <xf numFmtId="170" fontId="3" fillId="5" borderId="4" xfId="0" applyFont="1" applyFill="1" applyBorder="1" applyAlignment="1">
      <alignment vertical="center"/>
    </xf>
    <xf numFmtId="209" fontId="3" fillId="0" borderId="0" xfId="0" applyNumberFormat="1" applyFont="1" applyAlignment="1">
      <alignment vertical="center"/>
    </xf>
    <xf numFmtId="183" fontId="3" fillId="5" borderId="0" xfId="1" applyNumberFormat="1" applyFont="1" applyFill="1" applyBorder="1" applyAlignment="1">
      <alignment horizontal="center" vertical="center"/>
    </xf>
    <xf numFmtId="183" fontId="3" fillId="5" borderId="0" xfId="1" applyNumberFormat="1" applyFont="1" applyFill="1" applyBorder="1" applyAlignment="1">
      <alignment horizontal="center"/>
    </xf>
    <xf numFmtId="170" fontId="3" fillId="5" borderId="0" xfId="0" applyFont="1" applyFill="1" applyAlignment="1">
      <alignment horizontal="left" vertical="center"/>
    </xf>
    <xf numFmtId="170" fontId="3" fillId="5" borderId="0" xfId="0" applyFont="1" applyFill="1" applyAlignment="1">
      <alignment horizontal="center" vertical="center"/>
    </xf>
    <xf numFmtId="183" fontId="3" fillId="5" borderId="0" xfId="1" applyNumberFormat="1" applyFont="1" applyFill="1" applyBorder="1" applyAlignment="1">
      <alignment vertical="center"/>
    </xf>
    <xf numFmtId="170" fontId="3" fillId="5" borderId="7" xfId="0" applyFont="1" applyFill="1" applyBorder="1" applyAlignment="1">
      <alignment vertical="center"/>
    </xf>
    <xf numFmtId="170" fontId="3" fillId="0" borderId="23" xfId="0" applyFont="1" applyBorder="1" applyAlignment="1">
      <alignment vertical="center"/>
    </xf>
    <xf numFmtId="170" fontId="3" fillId="0" borderId="8" xfId="0" applyFont="1" applyBorder="1" applyAlignment="1">
      <alignment vertical="center"/>
    </xf>
    <xf numFmtId="170" fontId="33" fillId="5" borderId="24" xfId="0" applyFont="1" applyFill="1" applyBorder="1" applyAlignment="1">
      <alignment vertical="center"/>
    </xf>
    <xf numFmtId="170" fontId="41" fillId="5" borderId="0" xfId="0" applyFont="1" applyFill="1" applyAlignment="1">
      <alignment vertical="center"/>
    </xf>
    <xf numFmtId="0" fontId="68" fillId="0" borderId="13" xfId="20" applyFont="1" applyBorder="1"/>
    <xf numFmtId="0" fontId="68" fillId="0" borderId="24" xfId="20" applyFont="1" applyBorder="1"/>
    <xf numFmtId="0" fontId="2" fillId="0" borderId="24" xfId="20" applyBorder="1"/>
    <xf numFmtId="0" fontId="69" fillId="0" borderId="24" xfId="20" applyFont="1" applyBorder="1"/>
    <xf numFmtId="2" fontId="2" fillId="0" borderId="24" xfId="20" applyNumberFormat="1" applyBorder="1"/>
    <xf numFmtId="0" fontId="2" fillId="0" borderId="14" xfId="20" applyBorder="1"/>
    <xf numFmtId="0" fontId="2" fillId="0" borderId="0" xfId="20"/>
    <xf numFmtId="0" fontId="2" fillId="0" borderId="0" xfId="20" applyFont="1"/>
    <xf numFmtId="0" fontId="70" fillId="0" borderId="4" xfId="21" applyFont="1" applyBorder="1"/>
    <xf numFmtId="0" fontId="68" fillId="0" borderId="0" xfId="20" applyFont="1"/>
    <xf numFmtId="2" fontId="2" fillId="0" borderId="0" xfId="20" applyNumberFormat="1"/>
    <xf numFmtId="183" fontId="2" fillId="0" borderId="16" xfId="20" applyNumberFormat="1" applyBorder="1"/>
    <xf numFmtId="0" fontId="71" fillId="0" borderId="7" xfId="21" applyFont="1" applyBorder="1" applyAlignment="1">
      <alignment horizontal="left" vertical="center" wrapText="1"/>
    </xf>
    <xf numFmtId="0" fontId="72" fillId="0" borderId="23" xfId="20" applyFont="1" applyBorder="1" applyAlignment="1">
      <alignment vertical="center" wrapText="1"/>
    </xf>
    <xf numFmtId="183" fontId="72" fillId="0" borderId="23" xfId="20" applyNumberFormat="1" applyFont="1" applyBorder="1" applyAlignment="1">
      <alignment vertical="center" wrapText="1"/>
    </xf>
    <xf numFmtId="2" fontId="72" fillId="0" borderId="23" xfId="20" applyNumberFormat="1" applyFont="1" applyBorder="1" applyAlignment="1">
      <alignment vertical="center" wrapText="1"/>
    </xf>
    <xf numFmtId="0" fontId="2" fillId="0" borderId="23" xfId="20" applyBorder="1"/>
    <xf numFmtId="0" fontId="2" fillId="0" borderId="8" xfId="20" applyBorder="1"/>
    <xf numFmtId="0" fontId="73" fillId="0" borderId="11" xfId="20" applyFont="1" applyBorder="1" applyAlignment="1">
      <alignment vertical="center" wrapText="1"/>
    </xf>
    <xf numFmtId="0" fontId="73" fillId="0" borderId="15" xfId="20" applyFont="1" applyBorder="1" applyAlignment="1">
      <alignment vertical="center" wrapText="1"/>
    </xf>
    <xf numFmtId="2" fontId="73" fillId="0" borderId="15" xfId="20" applyNumberFormat="1" applyFont="1" applyBorder="1" applyAlignment="1">
      <alignment vertical="center" wrapText="1"/>
    </xf>
    <xf numFmtId="167" fontId="75" fillId="0" borderId="1" xfId="1" applyFont="1" applyFill="1" applyBorder="1" applyAlignment="1">
      <alignment horizontal="center" vertical="center" wrapText="1"/>
    </xf>
    <xf numFmtId="167" fontId="21" fillId="0" borderId="1" xfId="1" applyFont="1" applyFill="1" applyBorder="1" applyAlignment="1">
      <alignment horizontal="right" vertical="center"/>
    </xf>
    <xf numFmtId="0" fontId="76" fillId="0" borderId="4" xfId="20" applyFont="1" applyBorder="1" applyAlignment="1">
      <alignment wrapText="1"/>
    </xf>
    <xf numFmtId="43" fontId="2" fillId="0" borderId="0" xfId="20" applyNumberFormat="1"/>
    <xf numFmtId="4" fontId="2" fillId="0" borderId="0" xfId="20" applyNumberFormat="1"/>
    <xf numFmtId="167" fontId="21" fillId="0" borderId="9" xfId="1" applyFont="1" applyFill="1" applyBorder="1" applyAlignment="1">
      <alignment horizontal="right" vertical="center"/>
    </xf>
    <xf numFmtId="0" fontId="76" fillId="0" borderId="1" xfId="20" applyFont="1" applyBorder="1" applyAlignment="1">
      <alignment wrapText="1"/>
    </xf>
    <xf numFmtId="0" fontId="77" fillId="0" borderId="4" xfId="20" applyFont="1" applyBorder="1" applyAlignment="1">
      <alignment wrapText="1"/>
    </xf>
    <xf numFmtId="167" fontId="3" fillId="0" borderId="1" xfId="1" applyBorder="1"/>
    <xf numFmtId="167" fontId="2" fillId="0" borderId="0" xfId="1" applyFont="1"/>
    <xf numFmtId="180" fontId="2" fillId="0" borderId="0" xfId="20" applyNumberFormat="1"/>
    <xf numFmtId="1" fontId="2" fillId="0" borderId="0" xfId="20" applyNumberFormat="1"/>
    <xf numFmtId="167" fontId="21" fillId="0" borderId="10" xfId="1" applyFont="1" applyFill="1" applyBorder="1" applyAlignment="1">
      <alignment horizontal="right" vertical="center"/>
    </xf>
    <xf numFmtId="167" fontId="21" fillId="0" borderId="8" xfId="1" applyFont="1" applyFill="1" applyBorder="1" applyAlignment="1">
      <alignment horizontal="right" vertical="center"/>
    </xf>
    <xf numFmtId="167" fontId="2" fillId="0" borderId="0" xfId="1" applyFont="1" applyFill="1"/>
    <xf numFmtId="182" fontId="2" fillId="3" borderId="0" xfId="1" applyNumberFormat="1" applyFont="1" applyFill="1"/>
    <xf numFmtId="167" fontId="78" fillId="0" borderId="10" xfId="1" applyFont="1" applyFill="1" applyBorder="1" applyAlignment="1">
      <alignment horizontal="right" vertical="center"/>
    </xf>
    <xf numFmtId="0" fontId="76" fillId="0" borderId="4" xfId="20" applyFont="1" applyBorder="1" applyAlignment="1">
      <alignment horizontal="left" vertical="center" wrapText="1"/>
    </xf>
    <xf numFmtId="182" fontId="2" fillId="0" borderId="0" xfId="20" applyNumberFormat="1"/>
    <xf numFmtId="183" fontId="2" fillId="0" borderId="0" xfId="20" applyNumberFormat="1"/>
    <xf numFmtId="167" fontId="79" fillId="0" borderId="1" xfId="1" applyFont="1" applyFill="1" applyBorder="1" applyAlignment="1">
      <alignment horizontal="right" vertical="center"/>
    </xf>
    <xf numFmtId="182" fontId="2" fillId="0" borderId="0" xfId="1" applyNumberFormat="1" applyFont="1"/>
    <xf numFmtId="183" fontId="21" fillId="0" borderId="34" xfId="1" applyNumberFormat="1" applyFont="1" applyFill="1" applyBorder="1" applyAlignment="1">
      <alignment horizontal="right" vertical="center"/>
    </xf>
    <xf numFmtId="0" fontId="80" fillId="0" borderId="13" xfId="20" applyFont="1" applyBorder="1" applyAlignment="1">
      <alignment wrapText="1"/>
    </xf>
    <xf numFmtId="43" fontId="80" fillId="0" borderId="24" xfId="20" applyNumberFormat="1" applyFont="1" applyBorder="1" applyAlignment="1">
      <alignment wrapText="1"/>
    </xf>
    <xf numFmtId="2" fontId="79" fillId="0" borderId="24" xfId="20" applyNumberFormat="1" applyFont="1" applyBorder="1"/>
    <xf numFmtId="2" fontId="79" fillId="0" borderId="14" xfId="20" applyNumberFormat="1" applyFont="1" applyBorder="1"/>
    <xf numFmtId="0" fontId="19" fillId="0" borderId="0" xfId="20" applyFont="1"/>
    <xf numFmtId="0" fontId="79" fillId="0" borderId="0" xfId="20" applyFont="1"/>
    <xf numFmtId="170" fontId="67" fillId="0" borderId="0" xfId="0" applyFont="1"/>
    <xf numFmtId="2" fontId="19" fillId="0" borderId="0" xfId="20" applyNumberFormat="1" applyFont="1"/>
    <xf numFmtId="0" fontId="81" fillId="0" borderId="7" xfId="20" applyFont="1" applyBorder="1"/>
    <xf numFmtId="0" fontId="81" fillId="0" borderId="23" xfId="20" applyFont="1" applyBorder="1"/>
    <xf numFmtId="210" fontId="81" fillId="0" borderId="23" xfId="20" applyNumberFormat="1" applyFont="1" applyBorder="1"/>
    <xf numFmtId="0" fontId="81" fillId="0" borderId="8" xfId="20" applyFont="1" applyBorder="1"/>
    <xf numFmtId="0" fontId="81" fillId="0" borderId="0" xfId="20" applyFont="1"/>
    <xf numFmtId="0" fontId="3" fillId="0" borderId="0" xfId="21"/>
    <xf numFmtId="183" fontId="3" fillId="0" borderId="0" xfId="21" applyNumberFormat="1"/>
    <xf numFmtId="170" fontId="38" fillId="0" borderId="11" xfId="0" applyFont="1" applyBorder="1" applyAlignment="1">
      <alignment vertical="center"/>
    </xf>
    <xf numFmtId="170" fontId="0" fillId="0" borderId="15" xfId="0" applyBorder="1"/>
    <xf numFmtId="0" fontId="82" fillId="0" borderId="13" xfId="20" applyFont="1" applyBorder="1" applyAlignment="1">
      <alignment wrapText="1"/>
    </xf>
    <xf numFmtId="170" fontId="44" fillId="0" borderId="14" xfId="0" applyFont="1" applyBorder="1" applyAlignment="1">
      <alignment horizontal="right"/>
    </xf>
    <xf numFmtId="170" fontId="44" fillId="0" borderId="24" xfId="0" applyFont="1" applyBorder="1" applyAlignment="1">
      <alignment horizontal="right"/>
    </xf>
    <xf numFmtId="2" fontId="69" fillId="0" borderId="0" xfId="20" applyNumberFormat="1" applyFont="1"/>
    <xf numFmtId="0" fontId="21" fillId="0" borderId="0" xfId="20" applyFont="1"/>
    <xf numFmtId="167" fontId="83" fillId="0" borderId="1" xfId="1" applyFont="1" applyFill="1" applyBorder="1" applyAlignment="1">
      <alignment horizontal="center" vertical="center" wrapText="1"/>
    </xf>
    <xf numFmtId="167" fontId="83" fillId="0" borderId="11" xfId="1" applyFont="1" applyFill="1" applyBorder="1" applyAlignment="1">
      <alignment horizontal="center" vertical="center" wrapText="1"/>
    </xf>
    <xf numFmtId="2" fontId="77" fillId="0" borderId="0" xfId="1" applyNumberFormat="1" applyFont="1" applyFill="1" applyBorder="1" applyAlignment="1">
      <alignment horizontal="center" vertical="center" wrapText="1"/>
    </xf>
    <xf numFmtId="0" fontId="84" fillId="0" borderId="4" xfId="20" applyFont="1" applyBorder="1" applyAlignment="1">
      <alignment wrapText="1"/>
    </xf>
    <xf numFmtId="167" fontId="55" fillId="0" borderId="7" xfId="1" applyFont="1" applyFill="1" applyBorder="1"/>
    <xf numFmtId="167" fontId="55" fillId="0" borderId="10" xfId="1" applyFont="1" applyFill="1" applyBorder="1"/>
    <xf numFmtId="170" fontId="29" fillId="0" borderId="11" xfId="0" applyFont="1" applyBorder="1" applyAlignment="1">
      <alignment vertical="center"/>
    </xf>
    <xf numFmtId="167" fontId="85" fillId="0" borderId="11" xfId="1" applyFont="1" applyFill="1" applyBorder="1" applyAlignment="1">
      <alignment horizontal="center" vertical="center" wrapText="1"/>
    </xf>
    <xf numFmtId="167" fontId="85" fillId="0" borderId="1" xfId="1" applyFont="1" applyFill="1" applyBorder="1" applyAlignment="1">
      <alignment horizontal="center" vertical="center" wrapText="1"/>
    </xf>
    <xf numFmtId="167" fontId="55" fillId="0" borderId="13" xfId="1" applyFont="1" applyFill="1" applyBorder="1"/>
    <xf numFmtId="2" fontId="21" fillId="0" borderId="0" xfId="1" applyNumberFormat="1" applyFont="1" applyFill="1" applyBorder="1"/>
    <xf numFmtId="167" fontId="64" fillId="0" borderId="13" xfId="1" applyFont="1" applyFill="1" applyBorder="1"/>
    <xf numFmtId="167" fontId="64" fillId="0" borderId="9" xfId="1" applyFont="1" applyFill="1" applyBorder="1"/>
    <xf numFmtId="183" fontId="21" fillId="0" borderId="0" xfId="1" applyNumberFormat="1" applyFont="1" applyFill="1"/>
    <xf numFmtId="167" fontId="55" fillId="0" borderId="9" xfId="1" applyFont="1" applyFill="1" applyBorder="1"/>
    <xf numFmtId="2" fontId="2" fillId="0" borderId="0" xfId="20" applyNumberFormat="1" applyAlignment="1">
      <alignment horizontal="right"/>
    </xf>
    <xf numFmtId="167" fontId="64" fillId="0" borderId="11" xfId="1" applyFont="1" applyFill="1" applyBorder="1"/>
    <xf numFmtId="167" fontId="64" fillId="0" borderId="1" xfId="1" applyFont="1" applyFill="1" applyBorder="1"/>
    <xf numFmtId="167" fontId="64" fillId="0" borderId="7" xfId="1" applyFont="1" applyFill="1" applyBorder="1"/>
    <xf numFmtId="167" fontId="64" fillId="0" borderId="10" xfId="1" applyFont="1" applyFill="1" applyBorder="1"/>
    <xf numFmtId="167" fontId="55" fillId="0" borderId="1" xfId="1" applyFont="1" applyFill="1" applyBorder="1"/>
    <xf numFmtId="2" fontId="69" fillId="0" borderId="0" xfId="1" applyNumberFormat="1" applyFont="1" applyFill="1" applyBorder="1"/>
    <xf numFmtId="2" fontId="78" fillId="0" borderId="0" xfId="1" applyNumberFormat="1" applyFont="1" applyFill="1" applyBorder="1"/>
    <xf numFmtId="0" fontId="85" fillId="0" borderId="4" xfId="20" applyFont="1" applyBorder="1" applyAlignment="1">
      <alignment wrapText="1"/>
    </xf>
    <xf numFmtId="0" fontId="2" fillId="0" borderId="0" xfId="22"/>
    <xf numFmtId="43" fontId="0" fillId="0" borderId="0" xfId="0" applyNumberFormat="1"/>
    <xf numFmtId="170" fontId="29" fillId="0" borderId="4" xfId="0" applyFont="1" applyBorder="1" applyAlignment="1">
      <alignment vertical="center"/>
    </xf>
    <xf numFmtId="43" fontId="29" fillId="0" borderId="24" xfId="0" applyNumberFormat="1" applyFont="1" applyBorder="1"/>
    <xf numFmtId="43" fontId="86" fillId="0" borderId="0" xfId="0" applyNumberFormat="1" applyFont="1"/>
    <xf numFmtId="43" fontId="27" fillId="0" borderId="16" xfId="0" applyNumberFormat="1" applyFont="1" applyBorder="1"/>
    <xf numFmtId="0" fontId="78" fillId="0" borderId="4" xfId="20" applyFont="1" applyBorder="1" applyAlignment="1">
      <alignment wrapText="1"/>
    </xf>
    <xf numFmtId="170" fontId="44" fillId="0" borderId="0" xfId="0" applyFont="1" applyAlignment="1">
      <alignment horizontal="right"/>
    </xf>
    <xf numFmtId="170" fontId="87" fillId="0" borderId="0" xfId="0" applyFont="1" applyAlignment="1">
      <alignment horizontal="right"/>
    </xf>
    <xf numFmtId="0" fontId="2" fillId="0" borderId="16" xfId="20" applyBorder="1"/>
    <xf numFmtId="167" fontId="88" fillId="0" borderId="4" xfId="1" applyFont="1" applyFill="1" applyBorder="1" applyAlignment="1">
      <alignment horizontal="center" vertical="center" wrapText="1"/>
    </xf>
    <xf numFmtId="167" fontId="83" fillId="0" borderId="16" xfId="1" applyFont="1" applyFill="1" applyBorder="1" applyAlignment="1">
      <alignment horizontal="center" vertical="center" wrapText="1"/>
    </xf>
    <xf numFmtId="167" fontId="79" fillId="0" borderId="4" xfId="1" applyFont="1" applyFill="1" applyBorder="1"/>
    <xf numFmtId="167" fontId="55" fillId="0" borderId="16" xfId="1" applyFont="1" applyFill="1" applyBorder="1"/>
    <xf numFmtId="167" fontId="55" fillId="0" borderId="4" xfId="1" applyFont="1" applyFill="1" applyBorder="1"/>
    <xf numFmtId="167" fontId="89" fillId="0" borderId="4" xfId="1" applyFont="1" applyFill="1" applyBorder="1"/>
    <xf numFmtId="4" fontId="18" fillId="0" borderId="0" xfId="20" applyNumberFormat="1" applyFont="1"/>
    <xf numFmtId="167" fontId="64" fillId="0" borderId="4" xfId="1" applyFont="1" applyFill="1" applyBorder="1"/>
    <xf numFmtId="167" fontId="64" fillId="0" borderId="16" xfId="1" applyFont="1" applyFill="1" applyBorder="1"/>
    <xf numFmtId="196" fontId="64" fillId="0" borderId="4" xfId="1" applyNumberFormat="1" applyFont="1" applyFill="1" applyBorder="1"/>
    <xf numFmtId="43" fontId="29" fillId="0" borderId="7" xfId="0" applyNumberFormat="1" applyFont="1" applyBorder="1"/>
    <xf numFmtId="196" fontId="58" fillId="0" borderId="4" xfId="1" applyNumberFormat="1" applyFont="1" applyBorder="1"/>
    <xf numFmtId="170" fontId="29" fillId="10" borderId="4" xfId="0" applyFont="1" applyFill="1" applyBorder="1" applyAlignment="1">
      <alignment vertical="center"/>
    </xf>
    <xf numFmtId="170" fontId="25" fillId="0" borderId="0" xfId="0" applyFont="1"/>
    <xf numFmtId="170" fontId="29" fillId="0" borderId="0" xfId="0" applyFont="1" applyAlignment="1">
      <alignment horizontal="right"/>
    </xf>
    <xf numFmtId="170" fontId="0" fillId="0" borderId="4" xfId="0" applyBorder="1"/>
    <xf numFmtId="170" fontId="43" fillId="0" borderId="0" xfId="0" applyFont="1"/>
    <xf numFmtId="170" fontId="61" fillId="0" borderId="11" xfId="0" applyFont="1" applyBorder="1"/>
    <xf numFmtId="167" fontId="61" fillId="0" borderId="11" xfId="1" applyFont="1" applyFill="1" applyBorder="1" applyAlignment="1">
      <alignment horizontal="center" vertical="center"/>
    </xf>
    <xf numFmtId="167" fontId="61" fillId="0" borderId="1" xfId="1" applyFont="1" applyFill="1" applyBorder="1" applyAlignment="1">
      <alignment horizontal="center" vertical="center" wrapText="1"/>
    </xf>
    <xf numFmtId="167" fontId="87" fillId="0" borderId="16" xfId="1" applyFont="1" applyFill="1" applyBorder="1" applyAlignment="1">
      <alignment horizontal="center" vertical="center" wrapText="1"/>
    </xf>
    <xf numFmtId="170" fontId="87" fillId="0" borderId="0" xfId="0" applyFont="1" applyAlignment="1">
      <alignment horizontal="center" vertical="center"/>
    </xf>
    <xf numFmtId="170" fontId="81" fillId="0" borderId="13" xfId="0" applyFont="1" applyBorder="1"/>
    <xf numFmtId="167" fontId="81" fillId="0" borderId="9" xfId="1" applyFont="1" applyBorder="1" applyAlignment="1"/>
    <xf numFmtId="167" fontId="81" fillId="0" borderId="2" xfId="1" applyFont="1" applyBorder="1"/>
    <xf numFmtId="207" fontId="34" fillId="0" borderId="16" xfId="23" applyFont="1" applyBorder="1"/>
    <xf numFmtId="207" fontId="34" fillId="0" borderId="0" xfId="23" applyFont="1" applyBorder="1"/>
    <xf numFmtId="170" fontId="81" fillId="0" borderId="4" xfId="0" applyFont="1" applyBorder="1"/>
    <xf numFmtId="167" fontId="81" fillId="0" borderId="2" xfId="1" applyFont="1" applyBorder="1" applyAlignment="1"/>
    <xf numFmtId="167" fontId="81" fillId="0" borderId="4" xfId="1" applyFont="1" applyBorder="1"/>
    <xf numFmtId="170" fontId="81" fillId="0" borderId="7" xfId="0" applyFont="1" applyBorder="1"/>
    <xf numFmtId="167" fontId="81" fillId="0" borderId="10" xfId="1" applyFont="1" applyBorder="1" applyAlignment="1"/>
    <xf numFmtId="170" fontId="61" fillId="0" borderId="11" xfId="0" applyFont="1" applyBorder="1" applyAlignment="1">
      <alignment vertical="center"/>
    </xf>
    <xf numFmtId="167" fontId="61" fillId="0" borderId="13" xfId="1" applyFont="1" applyBorder="1" applyAlignment="1">
      <alignment vertical="center"/>
    </xf>
    <xf numFmtId="167" fontId="61" fillId="0" borderId="1" xfId="1" applyFont="1" applyBorder="1" applyAlignment="1">
      <alignment vertical="center"/>
    </xf>
    <xf numFmtId="207" fontId="87" fillId="0" borderId="16" xfId="23" applyFont="1" applyBorder="1" applyAlignment="1">
      <alignment vertical="center"/>
    </xf>
    <xf numFmtId="207" fontId="0" fillId="0" borderId="4" xfId="0" applyNumberFormat="1" applyBorder="1"/>
    <xf numFmtId="207" fontId="87" fillId="0" borderId="0" xfId="23" applyFont="1" applyBorder="1" applyAlignment="1">
      <alignment vertical="center"/>
    </xf>
    <xf numFmtId="170" fontId="25" fillId="0" borderId="0" xfId="0" applyFont="1" applyAlignment="1">
      <alignment vertical="top" wrapText="1"/>
    </xf>
    <xf numFmtId="170" fontId="22" fillId="0" borderId="13" xfId="0" applyFont="1" applyBorder="1"/>
    <xf numFmtId="170" fontId="22" fillId="0" borderId="24" xfId="0" applyFont="1" applyBorder="1"/>
    <xf numFmtId="170" fontId="0" fillId="0" borderId="24" xfId="0" applyBorder="1"/>
    <xf numFmtId="170" fontId="0" fillId="0" borderId="14" xfId="0" applyBorder="1"/>
    <xf numFmtId="170" fontId="0" fillId="0" borderId="0" xfId="0" applyBorder="1"/>
    <xf numFmtId="170" fontId="66" fillId="0" borderId="16" xfId="0" applyFont="1" applyBorder="1" applyAlignment="1">
      <alignment horizontal="right"/>
    </xf>
    <xf numFmtId="170" fontId="0" fillId="0" borderId="13" xfId="0" applyBorder="1" applyAlignment="1">
      <alignment horizontal="center"/>
    </xf>
    <xf numFmtId="170" fontId="0" fillId="0" borderId="24" xfId="0" applyBorder="1" applyAlignment="1">
      <alignment horizontal="center"/>
    </xf>
    <xf numFmtId="170" fontId="0" fillId="0" borderId="9" xfId="0" applyBorder="1" applyAlignment="1">
      <alignment horizontal="center"/>
    </xf>
    <xf numFmtId="170" fontId="0" fillId="0" borderId="12" xfId="0" applyBorder="1" applyAlignment="1">
      <alignment horizontal="center"/>
    </xf>
    <xf numFmtId="170" fontId="0" fillId="0" borderId="1" xfId="0" applyBorder="1" applyAlignment="1">
      <alignment horizontal="center"/>
    </xf>
    <xf numFmtId="170" fontId="0" fillId="0" borderId="0" xfId="0" applyAlignment="1">
      <alignment horizontal="center"/>
    </xf>
    <xf numFmtId="170" fontId="0" fillId="0" borderId="1" xfId="0" applyBorder="1" applyAlignment="1">
      <alignment vertical="center" wrapText="1"/>
    </xf>
    <xf numFmtId="170" fontId="27" fillId="0" borderId="1" xfId="0" applyFont="1" applyBorder="1" applyAlignment="1">
      <alignment horizontal="center" vertical="center" wrapText="1"/>
    </xf>
    <xf numFmtId="170" fontId="0" fillId="0" borderId="12" xfId="0" applyBorder="1" applyAlignment="1">
      <alignment horizontal="center" vertical="center" wrapText="1"/>
    </xf>
    <xf numFmtId="170" fontId="0" fillId="0" borderId="1" xfId="0" applyBorder="1" applyAlignment="1">
      <alignment horizontal="center" vertical="center" wrapText="1"/>
    </xf>
    <xf numFmtId="170" fontId="0" fillId="0" borderId="0" xfId="0" applyAlignment="1">
      <alignment horizontal="center" vertical="center" wrapText="1"/>
    </xf>
    <xf numFmtId="170" fontId="78" fillId="0" borderId="1" xfId="0" applyFont="1" applyBorder="1" applyAlignment="1">
      <alignment vertical="center" wrapText="1"/>
    </xf>
    <xf numFmtId="207" fontId="78" fillId="0" borderId="1" xfId="24" applyFont="1" applyBorder="1" applyAlignment="1">
      <alignment vertical="center"/>
    </xf>
    <xf numFmtId="207" fontId="0" fillId="0" borderId="1" xfId="24" applyFont="1" applyBorder="1" applyAlignment="1">
      <alignment vertical="center"/>
    </xf>
    <xf numFmtId="170" fontId="0" fillId="0" borderId="12" xfId="0" applyBorder="1" applyAlignment="1">
      <alignment vertical="center"/>
    </xf>
    <xf numFmtId="207" fontId="22" fillId="0" borderId="1" xfId="24" applyFont="1" applyFill="1" applyBorder="1" applyAlignment="1">
      <alignment vertical="center"/>
    </xf>
    <xf numFmtId="207" fontId="3" fillId="0" borderId="1" xfId="24" applyFont="1" applyFill="1" applyBorder="1" applyAlignment="1">
      <alignment vertical="center"/>
    </xf>
    <xf numFmtId="167" fontId="57" fillId="0" borderId="1" xfId="1" applyFont="1" applyFill="1" applyBorder="1" applyAlignment="1">
      <alignment vertical="center"/>
    </xf>
    <xf numFmtId="167" fontId="56" fillId="0" borderId="1" xfId="1" applyFont="1" applyFill="1" applyBorder="1" applyAlignment="1">
      <alignment vertical="center"/>
    </xf>
    <xf numFmtId="207" fontId="27" fillId="0" borderId="1" xfId="0" applyNumberFormat="1" applyFont="1" applyBorder="1" applyAlignment="1">
      <alignment vertical="center"/>
    </xf>
    <xf numFmtId="211" fontId="3" fillId="0" borderId="1" xfId="1" applyNumberFormat="1" applyFont="1" applyFill="1" applyBorder="1" applyAlignment="1">
      <alignment vertical="center"/>
    </xf>
    <xf numFmtId="207" fontId="27" fillId="0" borderId="0" xfId="0" applyNumberFormat="1" applyFont="1" applyAlignment="1">
      <alignment vertical="center"/>
    </xf>
    <xf numFmtId="43" fontId="67" fillId="0" borderId="0" xfId="0" applyNumberFormat="1" applyFont="1" applyBorder="1"/>
    <xf numFmtId="43" fontId="50" fillId="0" borderId="16" xfId="0" applyNumberFormat="1" applyFont="1" applyBorder="1"/>
    <xf numFmtId="170" fontId="0" fillId="0" borderId="7" xfId="0" applyBorder="1"/>
    <xf numFmtId="43" fontId="67" fillId="0" borderId="23" xfId="0" applyNumberFormat="1" applyFont="1" applyBorder="1"/>
    <xf numFmtId="43" fontId="3" fillId="0" borderId="23" xfId="0" applyNumberFormat="1" applyFont="1" applyBorder="1"/>
    <xf numFmtId="43" fontId="0" fillId="0" borderId="23" xfId="0" applyNumberFormat="1" applyBorder="1"/>
    <xf numFmtId="43" fontId="0" fillId="0" borderId="8" xfId="0" applyNumberFormat="1" applyBorder="1"/>
    <xf numFmtId="207" fontId="0" fillId="0" borderId="0" xfId="0" applyNumberFormat="1"/>
    <xf numFmtId="212" fontId="50" fillId="3" borderId="0" xfId="0" applyNumberFormat="1" applyFont="1" applyFill="1"/>
    <xf numFmtId="43" fontId="50" fillId="3" borderId="0" xfId="0" applyNumberFormat="1" applyFont="1" applyFill="1"/>
    <xf numFmtId="4" fontId="3" fillId="0" borderId="0" xfId="0" applyNumberFormat="1" applyFont="1" applyAlignment="1">
      <alignment horizontal="right" vertical="center"/>
    </xf>
    <xf numFmtId="170" fontId="27" fillId="0" borderId="0" xfId="0" applyFont="1" applyAlignment="1">
      <alignment horizontal="right" vertical="center"/>
    </xf>
    <xf numFmtId="180" fontId="25" fillId="0" borderId="0" xfId="25" applyNumberFormat="1" applyFont="1" applyAlignment="1">
      <alignment vertical="center"/>
    </xf>
    <xf numFmtId="0" fontId="25" fillId="0" borderId="0" xfId="25" applyFont="1" applyAlignment="1">
      <alignment vertical="center"/>
    </xf>
    <xf numFmtId="4" fontId="38" fillId="0" borderId="4" xfId="25" quotePrefix="1" applyNumberFormat="1" applyFont="1" applyBorder="1" applyAlignment="1">
      <alignment horizontal="center" vertical="center"/>
    </xf>
    <xf numFmtId="4" fontId="38" fillId="0" borderId="0" xfId="25" quotePrefix="1" applyNumberFormat="1" applyFont="1" applyBorder="1" applyAlignment="1">
      <alignment horizontal="center" vertical="center"/>
    </xf>
    <xf numFmtId="0" fontId="38" fillId="0" borderId="16" xfId="25" applyFont="1" applyBorder="1" applyAlignment="1">
      <alignment horizontal="right" vertical="center"/>
    </xf>
    <xf numFmtId="4" fontId="36" fillId="0" borderId="35" xfId="25" applyNumberFormat="1" applyFont="1" applyBorder="1" applyAlignment="1">
      <alignment vertical="center"/>
    </xf>
    <xf numFmtId="4" fontId="36" fillId="0" borderId="36" xfId="25" applyNumberFormat="1" applyFont="1" applyBorder="1" applyAlignment="1">
      <alignment vertical="center"/>
    </xf>
    <xf numFmtId="4" fontId="38" fillId="0" borderId="36" xfId="25" applyNumberFormat="1" applyFont="1" applyBorder="1" applyAlignment="1">
      <alignment horizontal="center" vertical="center"/>
    </xf>
    <xf numFmtId="4" fontId="38" fillId="0" borderId="37" xfId="25" applyNumberFormat="1" applyFont="1" applyFill="1" applyBorder="1" applyAlignment="1">
      <alignment horizontal="center" vertical="center" wrapText="1"/>
    </xf>
    <xf numFmtId="4" fontId="36" fillId="0" borderId="4" xfId="25" applyNumberFormat="1" applyFont="1" applyBorder="1" applyAlignment="1">
      <alignment vertical="center"/>
    </xf>
    <xf numFmtId="4" fontId="36" fillId="0" borderId="0" xfId="25" applyNumberFormat="1" applyFont="1" applyBorder="1" applyAlignment="1">
      <alignment vertical="center"/>
    </xf>
    <xf numFmtId="0" fontId="38" fillId="0" borderId="0" xfId="25" applyFont="1" applyBorder="1" applyAlignment="1">
      <alignment vertical="center"/>
    </xf>
    <xf numFmtId="0" fontId="38" fillId="0" borderId="16" xfId="25" applyFont="1" applyBorder="1" applyAlignment="1">
      <alignment horizontal="center" vertical="center"/>
    </xf>
    <xf numFmtId="4" fontId="90" fillId="0" borderId="4" xfId="25" applyNumberFormat="1" applyFont="1" applyBorder="1" applyAlignment="1">
      <alignment horizontal="left" vertical="center"/>
    </xf>
    <xf numFmtId="4" fontId="90" fillId="0" borderId="0" xfId="25" applyNumberFormat="1" applyFont="1" applyBorder="1" applyAlignment="1">
      <alignment horizontal="left" vertical="center"/>
    </xf>
    <xf numFmtId="0" fontId="36" fillId="0" borderId="0" xfId="25" applyFont="1" applyBorder="1" applyAlignment="1">
      <alignment vertical="center"/>
    </xf>
    <xf numFmtId="180" fontId="36" fillId="0" borderId="16" xfId="26" applyNumberFormat="1" applyFont="1" applyFill="1" applyBorder="1" applyAlignment="1">
      <alignment vertical="center"/>
    </xf>
    <xf numFmtId="43" fontId="25" fillId="0" borderId="0" xfId="25" applyNumberFormat="1" applyFont="1" applyAlignment="1">
      <alignment vertical="center"/>
    </xf>
    <xf numFmtId="4" fontId="25" fillId="0" borderId="4" xfId="25" applyNumberFormat="1" applyFont="1" applyBorder="1" applyAlignment="1">
      <alignment horizontal="left" vertical="center"/>
    </xf>
    <xf numFmtId="4" fontId="36" fillId="0" borderId="0" xfId="25" applyNumberFormat="1" applyFont="1" applyBorder="1" applyAlignment="1">
      <alignment horizontal="left" vertical="center"/>
    </xf>
    <xf numFmtId="167" fontId="38" fillId="0" borderId="0" xfId="1" applyFont="1" applyFill="1" applyBorder="1" applyAlignment="1">
      <alignment vertical="center"/>
    </xf>
    <xf numFmtId="167" fontId="38" fillId="0" borderId="16" xfId="1" applyFont="1" applyFill="1" applyBorder="1" applyAlignment="1">
      <alignment vertical="center"/>
    </xf>
    <xf numFmtId="184" fontId="3" fillId="0" borderId="0" xfId="0" applyNumberFormat="1" applyFont="1" applyAlignment="1">
      <alignment vertical="center"/>
    </xf>
    <xf numFmtId="167" fontId="36" fillId="0" borderId="16" xfId="1" applyFont="1" applyFill="1" applyBorder="1" applyAlignment="1">
      <alignment vertical="center"/>
    </xf>
    <xf numFmtId="167" fontId="36" fillId="0" borderId="0" xfId="1" applyFont="1" applyFill="1" applyBorder="1" applyAlignment="1">
      <alignment vertical="center"/>
    </xf>
    <xf numFmtId="167" fontId="36" fillId="0" borderId="23" xfId="1" applyFont="1" applyFill="1" applyBorder="1" applyAlignment="1">
      <alignment vertical="center"/>
    </xf>
    <xf numFmtId="167" fontId="36" fillId="0" borderId="8" xfId="1" applyFont="1" applyFill="1" applyBorder="1" applyAlignment="1">
      <alignment vertical="center"/>
    </xf>
    <xf numFmtId="4" fontId="38" fillId="0" borderId="4" xfId="25" applyNumberFormat="1" applyFont="1" applyBorder="1" applyAlignment="1">
      <alignment horizontal="left" vertical="center"/>
    </xf>
    <xf numFmtId="4" fontId="38" fillId="0" borderId="0" xfId="25" applyNumberFormat="1" applyFont="1" applyBorder="1" applyAlignment="1">
      <alignment horizontal="left" vertical="center"/>
    </xf>
    <xf numFmtId="4" fontId="38" fillId="0" borderId="4" xfId="25" applyNumberFormat="1" applyFont="1" applyBorder="1" applyAlignment="1">
      <alignment vertical="center"/>
    </xf>
    <xf numFmtId="4" fontId="38" fillId="0" borderId="0" xfId="25" applyNumberFormat="1" applyFont="1" applyBorder="1" applyAlignment="1">
      <alignment vertical="center"/>
    </xf>
    <xf numFmtId="167" fontId="38" fillId="0" borderId="14" xfId="1" applyFont="1" applyFill="1" applyBorder="1" applyAlignment="1">
      <alignment vertical="center"/>
    </xf>
    <xf numFmtId="167" fontId="38" fillId="0" borderId="23" xfId="1" applyFont="1" applyFill="1" applyBorder="1" applyAlignment="1">
      <alignment vertical="center"/>
    </xf>
    <xf numFmtId="167" fontId="38" fillId="0" borderId="8" xfId="1" applyFont="1" applyFill="1" applyBorder="1" applyAlignment="1">
      <alignment vertical="center"/>
    </xf>
    <xf numFmtId="167" fontId="38" fillId="0" borderId="15" xfId="1" applyFont="1" applyFill="1" applyBorder="1" applyAlignment="1">
      <alignment vertical="center"/>
    </xf>
    <xf numFmtId="167" fontId="38" fillId="0" borderId="12" xfId="1" applyFont="1" applyFill="1" applyBorder="1" applyAlignment="1">
      <alignment vertical="center"/>
    </xf>
    <xf numFmtId="0" fontId="25" fillId="0" borderId="1" xfId="25" applyFont="1" applyBorder="1" applyAlignment="1">
      <alignment vertical="center"/>
    </xf>
    <xf numFmtId="4" fontId="25" fillId="0" borderId="0" xfId="25" applyNumberFormat="1" applyFont="1" applyBorder="1" applyAlignment="1">
      <alignment horizontal="left" vertical="center"/>
    </xf>
    <xf numFmtId="4" fontId="25" fillId="0" borderId="4" xfId="25" applyNumberFormat="1" applyFont="1" applyBorder="1" applyAlignment="1">
      <alignment horizontal="justify" vertical="center"/>
    </xf>
    <xf numFmtId="4" fontId="25" fillId="0" borderId="0" xfId="25" applyNumberFormat="1" applyFont="1" applyBorder="1" applyAlignment="1">
      <alignment horizontal="justify" vertical="center"/>
    </xf>
    <xf numFmtId="4" fontId="38" fillId="0" borderId="13" xfId="25" applyNumberFormat="1" applyFont="1" applyBorder="1" applyAlignment="1">
      <alignment horizontal="left" vertical="center"/>
    </xf>
    <xf numFmtId="4" fontId="38" fillId="0" borderId="24" xfId="25" applyNumberFormat="1" applyFont="1" applyBorder="1" applyAlignment="1">
      <alignment horizontal="left" vertical="center"/>
    </xf>
    <xf numFmtId="167" fontId="38" fillId="0" borderId="24" xfId="1" applyFont="1" applyFill="1" applyBorder="1" applyAlignment="1">
      <alignment vertical="center"/>
    </xf>
    <xf numFmtId="4" fontId="38" fillId="0" borderId="11" xfId="25" applyNumberFormat="1" applyFont="1" applyBorder="1" applyAlignment="1">
      <alignment horizontal="left" vertical="center"/>
    </xf>
    <xf numFmtId="4" fontId="38" fillId="0" borderId="15" xfId="25" applyNumberFormat="1" applyFont="1" applyBorder="1" applyAlignment="1">
      <alignment horizontal="left" vertical="center"/>
    </xf>
    <xf numFmtId="182" fontId="3" fillId="0" borderId="0" xfId="1" applyNumberFormat="1" applyFont="1" applyAlignment="1">
      <alignment vertical="center"/>
    </xf>
    <xf numFmtId="182" fontId="25" fillId="0" borderId="0" xfId="1" applyNumberFormat="1" applyFont="1" applyAlignment="1">
      <alignment vertical="center"/>
    </xf>
    <xf numFmtId="4" fontId="38" fillId="0" borderId="4" xfId="25" applyNumberFormat="1" applyFont="1" applyBorder="1" applyAlignment="1">
      <alignment horizontal="center" vertical="center"/>
    </xf>
    <xf numFmtId="4" fontId="38" fillId="0" borderId="0" xfId="25" applyNumberFormat="1" applyFont="1" applyBorder="1" applyAlignment="1">
      <alignment horizontal="center" vertical="center"/>
    </xf>
    <xf numFmtId="4" fontId="38" fillId="0" borderId="16" xfId="25" applyNumberFormat="1" applyFont="1" applyBorder="1" applyAlignment="1">
      <alignment horizontal="right" vertical="center"/>
    </xf>
    <xf numFmtId="4" fontId="38" fillId="0" borderId="37" xfId="25" applyNumberFormat="1" applyFont="1" applyBorder="1" applyAlignment="1">
      <alignment horizontal="center" vertical="center" wrapText="1"/>
    </xf>
    <xf numFmtId="0" fontId="38" fillId="0" borderId="38" xfId="25" applyFont="1" applyBorder="1" applyAlignment="1">
      <alignment vertical="center"/>
    </xf>
    <xf numFmtId="0" fontId="38" fillId="0" borderId="39" xfId="25" applyFont="1" applyBorder="1" applyAlignment="1">
      <alignment vertical="center"/>
    </xf>
    <xf numFmtId="180" fontId="38" fillId="0" borderId="0" xfId="26" applyNumberFormat="1" applyFont="1" applyFill="1" applyBorder="1" applyAlignment="1">
      <alignment vertical="center"/>
    </xf>
    <xf numFmtId="180" fontId="38" fillId="0" borderId="16" xfId="26" applyNumberFormat="1" applyFont="1" applyFill="1" applyBorder="1" applyAlignment="1">
      <alignment vertical="center"/>
    </xf>
    <xf numFmtId="180" fontId="36" fillId="0" borderId="0" xfId="26" applyNumberFormat="1" applyFont="1" applyFill="1" applyBorder="1" applyAlignment="1">
      <alignment vertical="center"/>
    </xf>
    <xf numFmtId="213" fontId="25" fillId="0" borderId="0" xfId="25" applyNumberFormat="1" applyFont="1" applyAlignment="1">
      <alignment vertical="center"/>
    </xf>
    <xf numFmtId="0" fontId="38" fillId="0" borderId="4" xfId="25" applyFont="1" applyBorder="1" applyAlignment="1">
      <alignment vertical="center" wrapText="1"/>
    </xf>
    <xf numFmtId="0" fontId="38" fillId="0" borderId="0" xfId="25" applyFont="1" applyBorder="1" applyAlignment="1">
      <alignment vertical="center" wrapText="1"/>
    </xf>
    <xf numFmtId="183" fontId="91" fillId="0" borderId="0" xfId="26" applyNumberFormat="1" applyFont="1" applyFill="1" applyBorder="1" applyAlignment="1">
      <alignment horizontal="right" vertical="center"/>
    </xf>
    <xf numFmtId="183" fontId="91" fillId="0" borderId="16" xfId="26" applyNumberFormat="1" applyFont="1" applyFill="1" applyBorder="1" applyAlignment="1">
      <alignment horizontal="right" vertical="center"/>
    </xf>
    <xf numFmtId="0" fontId="3" fillId="0" borderId="0" xfId="12" applyFont="1" applyBorder="1" applyAlignment="1">
      <alignment horizontal="center" vertical="center"/>
    </xf>
    <xf numFmtId="203" fontId="27" fillId="0" borderId="0" xfId="11" applyNumberFormat="1" applyFont="1" applyFill="1" applyBorder="1" applyAlignment="1">
      <alignment horizontal="right" vertical="center"/>
    </xf>
    <xf numFmtId="186" fontId="86" fillId="0" borderId="0" xfId="11" applyNumberFormat="1" applyFont="1" applyFill="1" applyBorder="1" applyAlignment="1">
      <alignment horizontal="right" vertical="center"/>
    </xf>
    <xf numFmtId="186" fontId="86" fillId="0" borderId="16" xfId="11" applyNumberFormat="1" applyFont="1" applyFill="1" applyBorder="1" applyAlignment="1">
      <alignment horizontal="right" vertical="center"/>
    </xf>
    <xf numFmtId="180" fontId="25" fillId="0" borderId="0" xfId="11" applyNumberFormat="1" applyFont="1" applyAlignment="1">
      <alignment vertical="center"/>
    </xf>
    <xf numFmtId="167" fontId="38" fillId="0" borderId="0" xfId="1" applyFont="1" applyFill="1" applyBorder="1" applyAlignment="1">
      <alignment horizontal="right" vertical="center"/>
    </xf>
    <xf numFmtId="170" fontId="27" fillId="0" borderId="0" xfId="0" applyFont="1" applyBorder="1" applyAlignment="1">
      <alignment horizontal="left" vertical="center"/>
    </xf>
    <xf numFmtId="170" fontId="3" fillId="0" borderId="0" xfId="0" applyFont="1" applyBorder="1" applyAlignment="1">
      <alignment vertical="center"/>
    </xf>
    <xf numFmtId="170" fontId="67" fillId="0" borderId="0" xfId="0" applyFont="1" applyBorder="1" applyAlignment="1">
      <alignment vertical="center"/>
    </xf>
    <xf numFmtId="205" fontId="86" fillId="0" borderId="16" xfId="11" applyNumberFormat="1" applyFont="1" applyFill="1" applyBorder="1" applyAlignment="1">
      <alignment horizontal="right" vertical="center"/>
    </xf>
    <xf numFmtId="205" fontId="27" fillId="0" borderId="16" xfId="11" applyNumberFormat="1" applyFont="1" applyFill="1" applyBorder="1" applyAlignment="1">
      <alignment horizontal="right" vertical="center"/>
    </xf>
    <xf numFmtId="0" fontId="25" fillId="0" borderId="0" xfId="25" applyFont="1" applyBorder="1" applyAlignment="1">
      <alignment vertical="center"/>
    </xf>
    <xf numFmtId="0" fontId="3" fillId="0" borderId="0" xfId="12" applyFont="1" applyBorder="1" applyAlignment="1">
      <alignment vertical="center"/>
    </xf>
    <xf numFmtId="183" fontId="3" fillId="0" borderId="16" xfId="1" applyNumberFormat="1" applyFont="1" applyFill="1" applyBorder="1" applyAlignment="1">
      <alignment horizontal="center" vertical="center"/>
    </xf>
    <xf numFmtId="183" fontId="3" fillId="0" borderId="16" xfId="1" applyNumberFormat="1" applyFont="1" applyFill="1" applyBorder="1" applyAlignment="1">
      <alignment horizontal="right" vertical="center"/>
    </xf>
    <xf numFmtId="170" fontId="3" fillId="0" borderId="0" xfId="0" applyFont="1" applyBorder="1" applyAlignment="1">
      <alignment horizontal="center" vertical="center"/>
    </xf>
    <xf numFmtId="0" fontId="3" fillId="0" borderId="0" xfId="25" applyFont="1" applyBorder="1" applyAlignment="1">
      <alignment vertical="center"/>
    </xf>
    <xf numFmtId="0" fontId="3" fillId="0" borderId="16" xfId="25" applyFont="1" applyBorder="1" applyAlignment="1">
      <alignment vertical="center"/>
    </xf>
    <xf numFmtId="170" fontId="3" fillId="0" borderId="7" xfId="0" applyFont="1" applyBorder="1" applyAlignment="1">
      <alignment vertical="center"/>
    </xf>
    <xf numFmtId="0" fontId="3" fillId="0" borderId="23" xfId="12" applyFont="1" applyBorder="1" applyAlignment="1">
      <alignment horizontal="center" vertical="center"/>
    </xf>
    <xf numFmtId="203" fontId="27" fillId="0" borderId="23" xfId="11" applyNumberFormat="1" applyFont="1" applyFill="1" applyBorder="1" applyAlignment="1">
      <alignment horizontal="right" vertical="center"/>
    </xf>
    <xf numFmtId="205" fontId="27" fillId="0" borderId="23" xfId="11" applyNumberFormat="1" applyFont="1" applyFill="1" applyBorder="1" applyAlignment="1">
      <alignment horizontal="right" vertical="center"/>
    </xf>
    <xf numFmtId="205" fontId="27" fillId="0" borderId="8" xfId="11" applyNumberFormat="1" applyFont="1" applyFill="1" applyBorder="1" applyAlignment="1">
      <alignment horizontal="right" vertical="center"/>
    </xf>
    <xf numFmtId="166" fontId="3" fillId="0" borderId="0" xfId="0" applyNumberFormat="1" applyFont="1" applyAlignment="1">
      <alignment vertical="center"/>
    </xf>
    <xf numFmtId="2" fontId="25" fillId="0" borderId="0" xfId="25" applyNumberFormat="1" applyFont="1" applyAlignment="1">
      <alignment vertical="center"/>
    </xf>
    <xf numFmtId="0" fontId="25" fillId="3" borderId="0" xfId="25" applyFont="1" applyFill="1" applyAlignment="1">
      <alignment vertical="center"/>
    </xf>
    <xf numFmtId="4" fontId="25" fillId="3" borderId="0" xfId="25" applyNumberFormat="1" applyFont="1" applyFill="1" applyAlignment="1">
      <alignment vertical="center"/>
    </xf>
    <xf numFmtId="186" fontId="3" fillId="0" borderId="0" xfId="0" applyNumberFormat="1" applyFont="1" applyAlignment="1">
      <alignment vertical="center"/>
    </xf>
    <xf numFmtId="188" fontId="25" fillId="0" borderId="0" xfId="25" applyNumberFormat="1" applyFont="1" applyAlignment="1">
      <alignment vertical="center"/>
    </xf>
    <xf numFmtId="0" fontId="82" fillId="5" borderId="11" xfId="27" applyFont="1" applyFill="1" applyBorder="1"/>
    <xf numFmtId="0" fontId="21" fillId="0" borderId="15" xfId="27" applyBorder="1"/>
    <xf numFmtId="167" fontId="21" fillId="0" borderId="15" xfId="1" applyFont="1" applyFill="1" applyBorder="1"/>
    <xf numFmtId="0" fontId="21" fillId="0" borderId="14" xfId="27" applyBorder="1"/>
    <xf numFmtId="0" fontId="21" fillId="0" borderId="0" xfId="27"/>
    <xf numFmtId="0" fontId="21" fillId="0" borderId="0" xfId="27" applyFont="1"/>
    <xf numFmtId="0" fontId="92" fillId="0" borderId="13" xfId="27" applyFont="1" applyBorder="1"/>
    <xf numFmtId="0" fontId="55" fillId="0" borderId="24" xfId="27" applyFont="1" applyBorder="1"/>
    <xf numFmtId="167" fontId="55" fillId="0" borderId="24" xfId="1" applyFont="1" applyFill="1" applyBorder="1"/>
    <xf numFmtId="0" fontId="55" fillId="0" borderId="14" xfId="27" applyFont="1" applyBorder="1"/>
    <xf numFmtId="0" fontId="93" fillId="0" borderId="24" xfId="27" applyFont="1" applyBorder="1"/>
    <xf numFmtId="167" fontId="93" fillId="0" borderId="24" xfId="1" applyFont="1" applyFill="1" applyBorder="1"/>
    <xf numFmtId="0" fontId="64" fillId="0" borderId="24" xfId="27" applyFont="1" applyBorder="1"/>
    <xf numFmtId="0" fontId="92" fillId="0" borderId="4" xfId="27" applyFont="1" applyBorder="1"/>
    <xf numFmtId="0" fontId="93" fillId="0" borderId="0" xfId="27" applyFont="1"/>
    <xf numFmtId="167" fontId="93" fillId="0" borderId="0" xfId="1" applyFont="1" applyFill="1" applyBorder="1"/>
    <xf numFmtId="167" fontId="93" fillId="0" borderId="23" xfId="1" applyFont="1" applyFill="1" applyBorder="1"/>
    <xf numFmtId="0" fontId="55" fillId="0" borderId="23" xfId="27" applyFont="1" applyBorder="1"/>
    <xf numFmtId="0" fontId="55" fillId="0" borderId="16" xfId="27" applyFont="1" applyBorder="1"/>
    <xf numFmtId="167" fontId="93" fillId="0" borderId="1" xfId="1" applyFont="1" applyFill="1" applyBorder="1" applyAlignment="1">
      <alignment horizontal="center" vertical="center"/>
    </xf>
    <xf numFmtId="0" fontId="93" fillId="0" borderId="1" xfId="27" applyFont="1" applyBorder="1" applyAlignment="1">
      <alignment horizontal="center" vertical="center"/>
    </xf>
    <xf numFmtId="167" fontId="93" fillId="0" borderId="12" xfId="1" applyFont="1" applyFill="1" applyBorder="1"/>
    <xf numFmtId="0" fontId="93" fillId="0" borderId="1" xfId="27" applyFont="1" applyBorder="1"/>
    <xf numFmtId="183" fontId="93" fillId="0" borderId="1" xfId="1" applyNumberFormat="1" applyFont="1" applyFill="1" applyBorder="1"/>
    <xf numFmtId="167" fontId="93" fillId="0" borderId="1" xfId="1" applyFont="1" applyFill="1" applyBorder="1"/>
    <xf numFmtId="183" fontId="93" fillId="0" borderId="12" xfId="1" applyNumberFormat="1" applyFont="1" applyFill="1" applyBorder="1"/>
    <xf numFmtId="0" fontId="93" fillId="0" borderId="4" xfId="27" applyFont="1" applyBorder="1"/>
    <xf numFmtId="167" fontId="93" fillId="0" borderId="16" xfId="1" applyFont="1" applyFill="1" applyBorder="1"/>
    <xf numFmtId="0" fontId="55" fillId="0" borderId="0" xfId="27" applyFont="1"/>
    <xf numFmtId="0" fontId="93" fillId="0" borderId="1" xfId="27" applyFont="1" applyBorder="1" applyAlignment="1">
      <alignment horizontal="left" vertical="center" wrapText="1"/>
    </xf>
    <xf numFmtId="167" fontId="93" fillId="0" borderId="1" xfId="1" applyFont="1" applyFill="1" applyBorder="1" applyAlignment="1">
      <alignment horizontal="center"/>
    </xf>
    <xf numFmtId="183" fontId="93" fillId="0" borderId="1" xfId="1" applyNumberFormat="1" applyFont="1" applyFill="1" applyBorder="1" applyAlignment="1"/>
    <xf numFmtId="167" fontId="93" fillId="0" borderId="12" xfId="1" applyFont="1" applyFill="1" applyBorder="1" applyAlignment="1"/>
    <xf numFmtId="167" fontId="93" fillId="0" borderId="1" xfId="1" applyFont="1" applyFill="1" applyBorder="1" applyAlignment="1"/>
    <xf numFmtId="2" fontId="21" fillId="0" borderId="0" xfId="27" applyNumberFormat="1"/>
    <xf numFmtId="43" fontId="21" fillId="0" borderId="0" xfId="27" applyNumberFormat="1"/>
    <xf numFmtId="180" fontId="21" fillId="0" borderId="0" xfId="27" applyNumberFormat="1"/>
    <xf numFmtId="0" fontId="93" fillId="0" borderId="0" xfId="27" applyFont="1" applyAlignment="1">
      <alignment wrapText="1"/>
    </xf>
    <xf numFmtId="0" fontId="93" fillId="0" borderId="16" xfId="27" applyFont="1" applyBorder="1" applyAlignment="1">
      <alignment wrapText="1"/>
    </xf>
    <xf numFmtId="0" fontId="55" fillId="0" borderId="4" xfId="27" applyFont="1" applyBorder="1"/>
    <xf numFmtId="183" fontId="55" fillId="0" borderId="8" xfId="27" applyNumberFormat="1" applyFont="1" applyBorder="1"/>
    <xf numFmtId="167" fontId="93" fillId="0" borderId="11" xfId="1" applyFont="1" applyFill="1" applyBorder="1"/>
    <xf numFmtId="167" fontId="93" fillId="0" borderId="12" xfId="1" applyFont="1" applyFill="1" applyBorder="1" applyAlignment="1">
      <alignment vertical="center"/>
    </xf>
    <xf numFmtId="167" fontId="93" fillId="0" borderId="11" xfId="1" applyFont="1" applyFill="1" applyBorder="1" applyAlignment="1">
      <alignment vertical="center"/>
    </xf>
    <xf numFmtId="167" fontId="93" fillId="0" borderId="15" xfId="1" applyFont="1" applyFill="1" applyBorder="1"/>
    <xf numFmtId="167" fontId="21" fillId="0" borderId="0" xfId="1" applyFont="1" applyFill="1"/>
    <xf numFmtId="0" fontId="21" fillId="0" borderId="12" xfId="27" applyBorder="1"/>
    <xf numFmtId="0" fontId="21" fillId="5" borderId="0" xfId="27" applyFill="1"/>
    <xf numFmtId="167" fontId="93" fillId="0" borderId="12" xfId="1" applyFont="1" applyFill="1" applyBorder="1" applyAlignment="1">
      <alignment horizontal="center" vertical="center"/>
    </xf>
    <xf numFmtId="167" fontId="93" fillId="0" borderId="1" xfId="1" applyFont="1" applyFill="1" applyBorder="1" applyAlignment="1">
      <alignment horizontal="center" vertical="center" wrapText="1"/>
    </xf>
    <xf numFmtId="167" fontId="94" fillId="0" borderId="12" xfId="1" applyFont="1" applyFill="1" applyBorder="1" applyAlignment="1"/>
    <xf numFmtId="167" fontId="94" fillId="0" borderId="1" xfId="1" applyFont="1" applyFill="1" applyBorder="1" applyAlignment="1">
      <alignment horizontal="center" wrapText="1"/>
    </xf>
    <xf numFmtId="167" fontId="93" fillId="0" borderId="12" xfId="1" quotePrefix="1" applyFont="1" applyFill="1" applyBorder="1" applyAlignment="1"/>
    <xf numFmtId="183" fontId="94" fillId="0" borderId="12" xfId="1" applyNumberFormat="1" applyFont="1" applyFill="1" applyBorder="1" applyAlignment="1"/>
    <xf numFmtId="167" fontId="94" fillId="0" borderId="1" xfId="1" quotePrefix="1" applyFont="1" applyFill="1" applyBorder="1" applyAlignment="1"/>
    <xf numFmtId="167" fontId="94" fillId="0" borderId="12" xfId="1" quotePrefix="1" applyFont="1" applyFill="1" applyBorder="1" applyAlignment="1"/>
    <xf numFmtId="0" fontId="94" fillId="0" borderId="4" xfId="27" applyFont="1" applyBorder="1"/>
    <xf numFmtId="0" fontId="94" fillId="0" borderId="0" xfId="27" applyFont="1"/>
    <xf numFmtId="167" fontId="94" fillId="0" borderId="0" xfId="1" applyFont="1" applyFill="1" applyBorder="1"/>
    <xf numFmtId="0" fontId="92" fillId="0" borderId="0" xfId="27" applyFont="1"/>
    <xf numFmtId="0" fontId="82" fillId="0" borderId="11" xfId="27" applyFont="1" applyBorder="1" applyAlignment="1">
      <alignment vertical="center"/>
    </xf>
    <xf numFmtId="0" fontId="82" fillId="0" borderId="4" xfId="27" applyFont="1" applyBorder="1" applyAlignment="1">
      <alignment vertical="center"/>
    </xf>
    <xf numFmtId="0" fontId="78" fillId="0" borderId="1" xfId="27" applyFont="1" applyBorder="1" applyAlignment="1">
      <alignment horizontal="left" vertical="center"/>
    </xf>
    <xf numFmtId="167" fontId="78" fillId="0" borderId="1" xfId="1" applyFont="1" applyFill="1" applyBorder="1" applyAlignment="1">
      <alignment horizontal="left" vertical="center"/>
    </xf>
    <xf numFmtId="0" fontId="78" fillId="0" borderId="1" xfId="27" applyFont="1" applyBorder="1"/>
    <xf numFmtId="167" fontId="78" fillId="0" borderId="1" xfId="1" applyFont="1" applyFill="1" applyBorder="1"/>
    <xf numFmtId="167" fontId="78" fillId="0" borderId="11" xfId="1" applyFont="1" applyFill="1" applyBorder="1"/>
    <xf numFmtId="167" fontId="78" fillId="0" borderId="4" xfId="1" applyFont="1" applyFill="1" applyBorder="1"/>
    <xf numFmtId="0" fontId="21" fillId="0" borderId="1" xfId="27" applyBorder="1"/>
    <xf numFmtId="183" fontId="78" fillId="0" borderId="1" xfId="27" applyNumberFormat="1" applyFont="1" applyBorder="1"/>
    <xf numFmtId="43" fontId="78" fillId="0" borderId="1" xfId="27" applyNumberFormat="1" applyFont="1" applyBorder="1"/>
    <xf numFmtId="0" fontId="78" fillId="0" borderId="11" xfId="27" applyFont="1" applyBorder="1"/>
    <xf numFmtId="0" fontId="78" fillId="0" borderId="4" xfId="27" applyFont="1" applyBorder="1"/>
    <xf numFmtId="180" fontId="61" fillId="0" borderId="1" xfId="32" applyFont="1" applyFill="1" applyBorder="1" applyAlignment="1">
      <alignment vertical="center"/>
    </xf>
    <xf numFmtId="180" fontId="18" fillId="0" borderId="1" xfId="33" applyFont="1" applyFill="1" applyBorder="1" applyAlignment="1">
      <alignment vertical="center"/>
    </xf>
    <xf numFmtId="180" fontId="61" fillId="0" borderId="1" xfId="32" applyFont="1" applyFill="1" applyBorder="1" applyAlignment="1">
      <alignment vertical="top"/>
    </xf>
    <xf numFmtId="180" fontId="61" fillId="0" borderId="1" xfId="32" applyFont="1" applyFill="1" applyBorder="1" applyAlignment="1">
      <alignment horizontal="right" vertical="center"/>
    </xf>
    <xf numFmtId="0" fontId="2" fillId="0" borderId="0" xfId="34"/>
    <xf numFmtId="0" fontId="2" fillId="0" borderId="0" xfId="34" applyAlignment="1">
      <alignment vertical="center"/>
    </xf>
    <xf numFmtId="180" fontId="2" fillId="0" borderId="0" xfId="34" applyNumberFormat="1"/>
    <xf numFmtId="43" fontId="81" fillId="0" borderId="0" xfId="35" applyFont="1" applyFill="1"/>
    <xf numFmtId="0" fontId="2" fillId="0" borderId="0" xfId="34" applyAlignment="1">
      <alignment horizontal="left" vertical="center" wrapText="1"/>
    </xf>
    <xf numFmtId="0" fontId="2" fillId="0" borderId="0" xfId="34" applyAlignment="1">
      <alignment horizontal="left"/>
    </xf>
    <xf numFmtId="0" fontId="18" fillId="0" borderId="13" xfId="34" applyFont="1" applyFill="1" applyBorder="1"/>
    <xf numFmtId="0" fontId="2" fillId="0" borderId="24" xfId="34" applyFill="1" applyBorder="1"/>
    <xf numFmtId="0" fontId="2" fillId="0" borderId="24" xfId="34" applyFill="1" applyBorder="1" applyAlignment="1">
      <alignment vertical="center"/>
    </xf>
    <xf numFmtId="43" fontId="81" fillId="0" borderId="24" xfId="35" applyFont="1" applyFill="1" applyBorder="1"/>
    <xf numFmtId="2" fontId="2" fillId="0" borderId="24" xfId="34" applyNumberFormat="1" applyFill="1" applyBorder="1"/>
    <xf numFmtId="0" fontId="2" fillId="0" borderId="24" xfId="34" applyFill="1" applyBorder="1" applyAlignment="1">
      <alignment horizontal="left" vertical="center" wrapText="1"/>
    </xf>
    <xf numFmtId="0" fontId="18" fillId="0" borderId="14" xfId="34" applyFont="1" applyFill="1" applyBorder="1" applyAlignment="1">
      <alignment horizontal="right"/>
    </xf>
    <xf numFmtId="0" fontId="2" fillId="0" borderId="0" xfId="34" applyAlignment="1">
      <alignment horizontal="center" vertical="center" wrapText="1"/>
    </xf>
    <xf numFmtId="0" fontId="78" fillId="0" borderId="1" xfId="34" applyFont="1" applyFill="1" applyBorder="1" applyAlignment="1">
      <alignment horizontal="center" vertical="center" wrapText="1"/>
    </xf>
    <xf numFmtId="43" fontId="64" fillId="0" borderId="9" xfId="35" applyFont="1" applyFill="1" applyBorder="1" applyAlignment="1">
      <alignment horizontal="center" vertical="center" wrapText="1"/>
    </xf>
    <xf numFmtId="2" fontId="78" fillId="0" borderId="1" xfId="34" applyNumberFormat="1" applyFont="1" applyFill="1" applyBorder="1" applyAlignment="1">
      <alignment horizontal="center" vertical="center" wrapText="1"/>
    </xf>
    <xf numFmtId="0" fontId="78" fillId="0" borderId="14" xfId="34" applyFont="1" applyFill="1" applyBorder="1" applyAlignment="1">
      <alignment horizontal="center" vertical="center" wrapText="1"/>
    </xf>
    <xf numFmtId="0" fontId="64" fillId="0" borderId="9" xfId="34" applyFont="1" applyFill="1" applyBorder="1" applyAlignment="1">
      <alignment horizontal="center" vertical="center" wrapText="1"/>
    </xf>
    <xf numFmtId="0" fontId="78" fillId="0" borderId="9" xfId="34" applyFont="1" applyFill="1" applyBorder="1" applyAlignment="1">
      <alignment horizontal="center" vertical="center" wrapText="1"/>
    </xf>
    <xf numFmtId="0" fontId="78" fillId="0" borderId="9" xfId="34" applyFont="1" applyFill="1" applyBorder="1" applyAlignment="1">
      <alignment horizontal="left" vertical="center" wrapText="1"/>
    </xf>
    <xf numFmtId="0" fontId="78" fillId="0" borderId="0" xfId="34" applyFont="1" applyBorder="1" applyAlignment="1">
      <alignment horizontal="center" vertical="center" wrapText="1"/>
    </xf>
    <xf numFmtId="0" fontId="2" fillId="0" borderId="0" xfId="34" applyFont="1" applyAlignment="1">
      <alignment horizontal="center" vertical="center" wrapText="1"/>
    </xf>
    <xf numFmtId="2" fontId="2" fillId="0" borderId="0" xfId="34" applyNumberFormat="1" applyAlignment="1">
      <alignment horizontal="center" vertical="center" wrapText="1"/>
    </xf>
    <xf numFmtId="0" fontId="18" fillId="0" borderId="0" xfId="34" applyFont="1" applyAlignment="1">
      <alignment horizontal="center" vertical="center"/>
    </xf>
    <xf numFmtId="1" fontId="18" fillId="0" borderId="1" xfId="36" applyNumberFormat="1" applyFont="1" applyFill="1" applyBorder="1" applyAlignment="1">
      <alignment horizontal="center" vertical="center"/>
    </xf>
    <xf numFmtId="0" fontId="18" fillId="0" borderId="1" xfId="36" applyFont="1" applyFill="1" applyBorder="1" applyAlignment="1">
      <alignment horizontal="center" vertical="center"/>
    </xf>
    <xf numFmtId="0" fontId="18" fillId="0" borderId="1" xfId="36" applyFont="1" applyFill="1" applyBorder="1" applyAlignment="1">
      <alignment vertical="center" wrapText="1"/>
    </xf>
    <xf numFmtId="2" fontId="18" fillId="0" borderId="1" xfId="36" applyNumberFormat="1" applyFont="1" applyFill="1" applyBorder="1" applyAlignment="1">
      <alignment vertical="center"/>
    </xf>
    <xf numFmtId="0" fontId="18" fillId="0" borderId="1" xfId="36" applyFont="1" applyFill="1" applyBorder="1" applyAlignment="1">
      <alignment horizontal="left" vertical="center" wrapText="1"/>
    </xf>
    <xf numFmtId="10" fontId="18" fillId="0" borderId="1" xfId="36" applyNumberFormat="1" applyFont="1" applyFill="1" applyBorder="1" applyAlignment="1">
      <alignment horizontal="center" vertical="center"/>
    </xf>
    <xf numFmtId="0" fontId="18" fillId="0" borderId="0" xfId="34" applyFont="1" applyAlignment="1">
      <alignment vertical="top" wrapText="1"/>
    </xf>
    <xf numFmtId="1" fontId="18" fillId="0" borderId="0" xfId="34" applyNumberFormat="1" applyFont="1"/>
    <xf numFmtId="2" fontId="18" fillId="0" borderId="0" xfId="34" applyNumberFormat="1" applyFont="1"/>
    <xf numFmtId="0" fontId="18" fillId="0" borderId="0" xfId="34" applyFont="1"/>
    <xf numFmtId="0" fontId="2" fillId="0" borderId="0" xfId="34" applyAlignment="1">
      <alignment horizontal="center" vertical="center"/>
    </xf>
    <xf numFmtId="1" fontId="2" fillId="0" borderId="0" xfId="34" applyNumberFormat="1"/>
    <xf numFmtId="0" fontId="18" fillId="0" borderId="1" xfId="36" applyFont="1" applyFill="1" applyBorder="1" applyAlignment="1">
      <alignment horizontal="left" vertical="top" wrapText="1"/>
    </xf>
    <xf numFmtId="0" fontId="18" fillId="0" borderId="1" xfId="36" applyFont="1" applyFill="1" applyBorder="1" applyAlignment="1">
      <alignment horizontal="center" vertical="center" wrapText="1"/>
    </xf>
    <xf numFmtId="0" fontId="2" fillId="0" borderId="12" xfId="34" applyBorder="1" applyAlignment="1">
      <alignment vertical="center" wrapText="1"/>
    </xf>
    <xf numFmtId="0" fontId="18" fillId="0" borderId="9" xfId="36" applyFont="1" applyFill="1" applyBorder="1" applyAlignment="1">
      <alignment horizontal="center" vertical="center"/>
    </xf>
    <xf numFmtId="0" fontId="18" fillId="0" borderId="9" xfId="36" applyFont="1" applyFill="1" applyBorder="1" applyAlignment="1">
      <alignment vertical="center" wrapText="1"/>
    </xf>
    <xf numFmtId="0" fontId="61" fillId="0" borderId="1" xfId="36" applyFont="1" applyFill="1" applyBorder="1" applyAlignment="1">
      <alignment horizontal="left" vertical="center" wrapText="1"/>
    </xf>
    <xf numFmtId="0" fontId="27" fillId="0" borderId="1" xfId="36" applyFont="1" applyFill="1" applyBorder="1" applyAlignment="1">
      <alignment wrapText="1"/>
    </xf>
    <xf numFmtId="0" fontId="18" fillId="0" borderId="1" xfId="36" applyFont="1" applyFill="1" applyBorder="1" applyAlignment="1">
      <alignment horizontal="left" wrapText="1"/>
    </xf>
    <xf numFmtId="0" fontId="27" fillId="0" borderId="1" xfId="36" applyFont="1" applyFill="1" applyBorder="1" applyAlignment="1">
      <alignment horizontal="left" wrapText="1"/>
    </xf>
    <xf numFmtId="0" fontId="95" fillId="0" borderId="1" xfId="36" applyFont="1" applyFill="1" applyBorder="1" applyAlignment="1">
      <alignment horizontal="left" vertical="center" wrapText="1"/>
    </xf>
    <xf numFmtId="10" fontId="2" fillId="0" borderId="1" xfId="36" applyNumberFormat="1" applyFill="1" applyBorder="1" applyAlignment="1">
      <alignment horizontal="center" vertical="center"/>
    </xf>
    <xf numFmtId="2" fontId="2" fillId="0" borderId="0" xfId="34" applyNumberFormat="1" applyAlignment="1">
      <alignment horizontal="center" vertical="center"/>
    </xf>
    <xf numFmtId="0" fontId="27" fillId="0" borderId="0" xfId="36" applyFont="1" applyFill="1" applyBorder="1" applyAlignment="1">
      <alignment horizontal="left" wrapText="1"/>
    </xf>
    <xf numFmtId="0" fontId="2" fillId="0" borderId="0" xfId="34" applyAlignment="1">
      <alignment vertical="top" wrapText="1"/>
    </xf>
    <xf numFmtId="0" fontId="2" fillId="0" borderId="12" xfId="34" applyBorder="1" applyAlignment="1">
      <alignment vertical="top" wrapText="1"/>
    </xf>
    <xf numFmtId="2" fontId="2" fillId="0" borderId="0" xfId="34" applyNumberFormat="1" applyAlignment="1">
      <alignment horizontal="center" vertical="top"/>
    </xf>
    <xf numFmtId="0" fontId="18" fillId="0" borderId="11" xfId="36" applyFont="1" applyFill="1" applyBorder="1" applyAlignment="1">
      <alignment horizontal="center" vertical="center"/>
    </xf>
    <xf numFmtId="0" fontId="18" fillId="0" borderId="1" xfId="36" applyFont="1" applyFill="1" applyBorder="1" applyAlignment="1">
      <alignment vertical="top" wrapText="1"/>
    </xf>
    <xf numFmtId="10" fontId="18" fillId="0" borderId="1" xfId="36" applyNumberFormat="1" applyFont="1" applyFill="1" applyBorder="1" applyAlignment="1">
      <alignment horizontal="center" vertical="top"/>
    </xf>
    <xf numFmtId="0" fontId="2" fillId="0" borderId="0" xfId="34" applyAlignment="1">
      <alignment vertical="top"/>
    </xf>
    <xf numFmtId="0" fontId="18" fillId="0" borderId="1" xfId="36" quotePrefix="1" applyFont="1" applyFill="1" applyBorder="1" applyAlignment="1">
      <alignment horizontal="center" vertical="center"/>
    </xf>
    <xf numFmtId="0" fontId="18" fillId="0" borderId="0" xfId="36" applyFont="1" applyFill="1" applyBorder="1" applyAlignment="1">
      <alignment horizontal="center" vertical="center" wrapText="1"/>
    </xf>
    <xf numFmtId="10" fontId="18" fillId="0" borderId="1" xfId="36" applyNumberFormat="1" applyFont="1" applyFill="1" applyBorder="1" applyAlignment="1">
      <alignment horizontal="center" vertical="center" wrapText="1"/>
    </xf>
    <xf numFmtId="0" fontId="2" fillId="0" borderId="0" xfId="34" applyAlignment="1">
      <alignment horizontal="left" vertical="top" wrapText="1"/>
    </xf>
    <xf numFmtId="1" fontId="18" fillId="0" borderId="1" xfId="34" applyNumberFormat="1" applyFont="1" applyFill="1" applyBorder="1" applyAlignment="1">
      <alignment horizontal="center" vertical="center"/>
    </xf>
    <xf numFmtId="0" fontId="18" fillId="0" borderId="1" xfId="34" applyFont="1" applyFill="1" applyBorder="1" applyAlignment="1">
      <alignment horizontal="center" vertical="center" wrapText="1"/>
    </xf>
    <xf numFmtId="0" fontId="13" fillId="0" borderId="1" xfId="37" applyFont="1" applyFill="1" applyBorder="1" applyAlignment="1">
      <alignment horizontal="center" vertical="center" wrapText="1"/>
    </xf>
    <xf numFmtId="0" fontId="18" fillId="0" borderId="1" xfId="34" applyFont="1" applyFill="1" applyBorder="1" applyAlignment="1">
      <alignment vertical="center" wrapText="1"/>
    </xf>
    <xf numFmtId="43" fontId="61" fillId="0" borderId="1" xfId="35" applyFont="1" applyFill="1" applyBorder="1" applyAlignment="1">
      <alignment vertical="center"/>
    </xf>
    <xf numFmtId="2" fontId="18" fillId="0" borderId="1" xfId="34" applyNumberFormat="1" applyFont="1" applyFill="1" applyBorder="1" applyAlignment="1">
      <alignment vertical="center"/>
    </xf>
    <xf numFmtId="0" fontId="18" fillId="0" borderId="1" xfId="34" applyFont="1" applyFill="1" applyBorder="1" applyAlignment="1">
      <alignment horizontal="left" vertical="center" wrapText="1"/>
    </xf>
    <xf numFmtId="0" fontId="2" fillId="0" borderId="7" xfId="34" applyFill="1" applyBorder="1"/>
    <xf numFmtId="0" fontId="2" fillId="0" borderId="23" xfId="34" applyFill="1" applyBorder="1"/>
    <xf numFmtId="0" fontId="2" fillId="0" borderId="23" xfId="34" applyFill="1" applyBorder="1" applyAlignment="1">
      <alignment vertical="center"/>
    </xf>
    <xf numFmtId="0" fontId="78" fillId="0" borderId="10" xfId="34" applyFont="1" applyFill="1" applyBorder="1" applyAlignment="1">
      <alignment vertical="top" wrapText="1"/>
    </xf>
    <xf numFmtId="43" fontId="64" fillId="0" borderId="10" xfId="35" applyFont="1" applyFill="1" applyBorder="1"/>
    <xf numFmtId="0" fontId="2" fillId="0" borderId="23" xfId="34" applyFill="1" applyBorder="1" applyAlignment="1">
      <alignment horizontal="left" vertical="center" wrapText="1"/>
    </xf>
    <xf numFmtId="0" fontId="2" fillId="0" borderId="8" xfId="34" applyFill="1" applyBorder="1" applyAlignment="1">
      <alignment horizontal="left"/>
    </xf>
    <xf numFmtId="207" fontId="2" fillId="0" borderId="0" xfId="34" applyNumberFormat="1"/>
    <xf numFmtId="2" fontId="2" fillId="0" borderId="0" xfId="34" applyNumberFormat="1"/>
    <xf numFmtId="200" fontId="81" fillId="19" borderId="0" xfId="35" applyNumberFormat="1" applyFont="1" applyFill="1"/>
    <xf numFmtId="165" fontId="2" fillId="0" borderId="0" xfId="34" applyNumberFormat="1"/>
    <xf numFmtId="2" fontId="2" fillId="0" borderId="0" xfId="34" applyNumberFormat="1" applyAlignment="1">
      <alignment vertical="center"/>
    </xf>
    <xf numFmtId="43" fontId="2" fillId="0" borderId="0" xfId="35" applyFont="1" applyFill="1"/>
    <xf numFmtId="0" fontId="2" fillId="0" borderId="0" xfId="38"/>
    <xf numFmtId="0" fontId="97" fillId="0" borderId="0" xfId="38" applyFont="1" applyFill="1"/>
    <xf numFmtId="43" fontId="97" fillId="0" borderId="0" xfId="38" applyNumberFormat="1" applyFont="1" applyFill="1"/>
    <xf numFmtId="0" fontId="68" fillId="0" borderId="1" xfId="38" applyFont="1" applyFill="1" applyBorder="1" applyAlignment="1">
      <alignment horizontal="center" vertical="center" wrapText="1"/>
    </xf>
    <xf numFmtId="43" fontId="68" fillId="0" borderId="1" xfId="38" applyNumberFormat="1" applyFont="1" applyFill="1" applyBorder="1" applyAlignment="1">
      <alignment horizontal="center" vertical="center" wrapText="1"/>
    </xf>
    <xf numFmtId="0" fontId="97" fillId="0" borderId="1" xfId="38" applyFont="1" applyFill="1" applyBorder="1" applyAlignment="1">
      <alignment horizontal="center" vertical="center" wrapText="1"/>
    </xf>
    <xf numFmtId="0" fontId="96" fillId="0" borderId="1" xfId="38" applyFont="1" applyFill="1" applyBorder="1" applyAlignment="1">
      <alignment horizontal="center" vertical="center" wrapText="1"/>
    </xf>
    <xf numFmtId="2" fontId="97" fillId="0" borderId="1" xfId="38" applyNumberFormat="1" applyFont="1" applyFill="1" applyBorder="1" applyAlignment="1">
      <alignment horizontal="right" vertical="center" wrapText="1"/>
    </xf>
    <xf numFmtId="2" fontId="97" fillId="0" borderId="1" xfId="39" applyNumberFormat="1" applyFont="1" applyFill="1" applyBorder="1" applyAlignment="1">
      <alignment horizontal="right" vertical="center" wrapText="1"/>
    </xf>
    <xf numFmtId="0" fontId="98" fillId="0" borderId="1" xfId="38" applyFont="1" applyFill="1" applyBorder="1" applyAlignment="1">
      <alignment horizontal="center" vertical="center" wrapText="1"/>
    </xf>
    <xf numFmtId="0" fontId="97" fillId="0" borderId="9" xfId="38" applyFont="1" applyFill="1" applyBorder="1" applyAlignment="1">
      <alignment horizontal="center" vertical="center" wrapText="1"/>
    </xf>
    <xf numFmtId="0" fontId="96" fillId="0" borderId="9" xfId="38" applyFont="1" applyFill="1" applyBorder="1" applyAlignment="1">
      <alignment horizontal="center" vertical="center" wrapText="1"/>
    </xf>
    <xf numFmtId="2" fontId="97" fillId="0" borderId="9" xfId="38" applyNumberFormat="1" applyFont="1" applyFill="1" applyBorder="1" applyAlignment="1">
      <alignment horizontal="right" vertical="center" wrapText="1"/>
    </xf>
    <xf numFmtId="2" fontId="97" fillId="0" borderId="9" xfId="39" applyNumberFormat="1" applyFont="1" applyFill="1" applyBorder="1" applyAlignment="1">
      <alignment horizontal="right" vertical="center" wrapText="1"/>
    </xf>
    <xf numFmtId="170" fontId="97" fillId="0" borderId="1" xfId="0" applyFont="1" applyFill="1" applyBorder="1" applyAlignment="1">
      <alignment horizontal="center" vertical="center" wrapText="1"/>
    </xf>
    <xf numFmtId="170" fontId="96" fillId="0" borderId="1" xfId="0" applyFont="1" applyFill="1" applyBorder="1" applyAlignment="1">
      <alignment horizontal="center" vertical="center" wrapText="1"/>
    </xf>
    <xf numFmtId="2" fontId="97" fillId="0" borderId="1" xfId="0" applyNumberFormat="1" applyFont="1" applyFill="1" applyBorder="1" applyAlignment="1">
      <alignment horizontal="right" vertical="center" wrapText="1"/>
    </xf>
    <xf numFmtId="10" fontId="97" fillId="0" borderId="1" xfId="40" applyNumberFormat="1" applyFont="1" applyFill="1" applyBorder="1" applyAlignment="1">
      <alignment horizontal="center" vertical="center" wrapText="1"/>
    </xf>
    <xf numFmtId="165" fontId="97" fillId="0" borderId="1" xfId="38" applyNumberFormat="1" applyFont="1" applyFill="1" applyBorder="1" applyAlignment="1">
      <alignment horizontal="right" vertical="center" wrapText="1"/>
    </xf>
    <xf numFmtId="10" fontId="99" fillId="0" borderId="1" xfId="40" applyNumberFormat="1" applyFont="1" applyFill="1" applyBorder="1" applyAlignment="1">
      <alignment horizontal="center" vertical="center" wrapText="1"/>
    </xf>
    <xf numFmtId="0" fontId="97" fillId="0" borderId="1" xfId="38" applyFont="1" applyFill="1" applyBorder="1" applyAlignment="1">
      <alignment vertical="center" wrapText="1"/>
    </xf>
    <xf numFmtId="170" fontId="100" fillId="0" borderId="1" xfId="0" applyFont="1" applyFill="1" applyBorder="1" applyAlignment="1">
      <alignment horizontal="center" vertical="center" wrapText="1"/>
    </xf>
    <xf numFmtId="0" fontId="68" fillId="0" borderId="1" xfId="38" applyFont="1" applyFill="1" applyBorder="1"/>
    <xf numFmtId="2" fontId="68" fillId="0" borderId="1" xfId="38" applyNumberFormat="1" applyFont="1" applyFill="1" applyBorder="1" applyAlignment="1">
      <alignment horizontal="right"/>
    </xf>
    <xf numFmtId="210" fontId="68" fillId="0" borderId="1" xfId="38" applyNumberFormat="1" applyFont="1" applyFill="1" applyBorder="1" applyAlignment="1">
      <alignment horizontal="right"/>
    </xf>
    <xf numFmtId="0" fontId="97" fillId="0" borderId="1" xfId="38" applyFont="1" applyFill="1" applyBorder="1"/>
    <xf numFmtId="0" fontId="2" fillId="0" borderId="0" xfId="38" applyFont="1"/>
    <xf numFmtId="2" fontId="2" fillId="0" borderId="0" xfId="38" applyNumberFormat="1" applyFont="1" applyAlignment="1">
      <alignment horizontal="right"/>
    </xf>
    <xf numFmtId="2" fontId="2" fillId="0" borderId="0" xfId="38" applyNumberFormat="1" applyFont="1"/>
    <xf numFmtId="0" fontId="2" fillId="0" borderId="0" xfId="38" applyFont="1" applyAlignment="1">
      <alignment vertical="top" wrapText="1"/>
    </xf>
    <xf numFmtId="2" fontId="81" fillId="19" borderId="0" xfId="38" applyNumberFormat="1" applyFont="1" applyFill="1"/>
    <xf numFmtId="186" fontId="81" fillId="0" borderId="0" xfId="38" applyNumberFormat="1" applyFont="1"/>
    <xf numFmtId="1" fontId="2" fillId="0" borderId="0" xfId="38" applyNumberFormat="1" applyFont="1"/>
    <xf numFmtId="189" fontId="2" fillId="0" borderId="0" xfId="29" applyNumberFormat="1" applyFont="1"/>
    <xf numFmtId="182" fontId="2" fillId="0" borderId="0" xfId="38" applyNumberFormat="1"/>
    <xf numFmtId="43" fontId="2" fillId="0" borderId="0" xfId="38" applyNumberFormat="1"/>
    <xf numFmtId="170" fontId="8" fillId="0" borderId="1" xfId="41" applyFont="1" applyBorder="1" applyAlignment="1">
      <alignment horizontal="justify" vertical="top" wrapText="1"/>
    </xf>
    <xf numFmtId="170" fontId="8" fillId="0" borderId="1" xfId="41" applyFont="1" applyBorder="1" applyAlignment="1">
      <alignment horizontal="center" vertical="center" wrapText="1"/>
    </xf>
    <xf numFmtId="172" fontId="8" fillId="0" borderId="1" xfId="41" applyNumberFormat="1" applyFont="1" applyBorder="1" applyAlignment="1">
      <alignment horizontal="right" vertical="center" wrapText="1"/>
    </xf>
    <xf numFmtId="167" fontId="7" fillId="0" borderId="1" xfId="1" applyFont="1" applyBorder="1" applyAlignment="1">
      <alignment vertical="center"/>
    </xf>
    <xf numFmtId="167" fontId="8" fillId="0" borderId="1" xfId="1" applyFont="1" applyBorder="1" applyAlignment="1">
      <alignment vertical="center"/>
    </xf>
    <xf numFmtId="3" fontId="7" fillId="0" borderId="0" xfId="0" applyNumberFormat="1" applyFont="1" applyFill="1" applyBorder="1"/>
    <xf numFmtId="170" fontId="8" fillId="3" borderId="1" xfId="0" applyFont="1" applyFill="1" applyBorder="1" applyAlignment="1">
      <alignment vertical="center"/>
    </xf>
    <xf numFmtId="40" fontId="7" fillId="0" borderId="1" xfId="0" applyNumberFormat="1" applyFont="1" applyFill="1" applyBorder="1" applyAlignment="1">
      <alignment vertical="center"/>
    </xf>
    <xf numFmtId="40" fontId="8" fillId="0" borderId="1" xfId="0" applyNumberFormat="1" applyFont="1" applyFill="1" applyBorder="1" applyAlignment="1">
      <alignment horizontal="center" vertical="center"/>
    </xf>
    <xf numFmtId="214" fontId="8" fillId="0" borderId="0" xfId="0" applyNumberFormat="1" applyFont="1" applyBorder="1" applyAlignment="1">
      <alignment vertical="center"/>
    </xf>
    <xf numFmtId="40" fontId="7" fillId="0" borderId="0" xfId="0" applyNumberFormat="1" applyFont="1" applyFill="1" applyBorder="1" applyAlignment="1">
      <alignment vertical="center"/>
    </xf>
    <xf numFmtId="40" fontId="8" fillId="0" borderId="1" xfId="0" applyNumberFormat="1" applyFont="1" applyBorder="1" applyAlignment="1">
      <alignment horizontal="right" vertical="center"/>
    </xf>
    <xf numFmtId="39" fontId="8" fillId="0" borderId="1" xfId="0" applyNumberFormat="1" applyFont="1" applyFill="1" applyBorder="1" applyAlignment="1">
      <alignment vertical="center"/>
    </xf>
    <xf numFmtId="172" fontId="8" fillId="0" borderId="1" xfId="0" applyNumberFormat="1" applyFont="1" applyBorder="1" applyAlignment="1">
      <alignment vertical="center"/>
    </xf>
    <xf numFmtId="172" fontId="7" fillId="0" borderId="1" xfId="0" applyNumberFormat="1" applyFont="1" applyBorder="1" applyAlignment="1">
      <alignment vertical="center"/>
    </xf>
    <xf numFmtId="170" fontId="101" fillId="0" borderId="1" xfId="0" applyFont="1" applyBorder="1" applyAlignment="1">
      <alignment vertical="center"/>
    </xf>
    <xf numFmtId="0" fontId="7" fillId="0" borderId="1" xfId="5" applyFont="1" applyFill="1" applyBorder="1" applyAlignment="1">
      <alignment vertical="center" wrapText="1"/>
    </xf>
    <xf numFmtId="0" fontId="8" fillId="0" borderId="1" xfId="5" applyFont="1" applyBorder="1" applyAlignment="1">
      <alignment vertical="center" wrapText="1"/>
    </xf>
    <xf numFmtId="172" fontId="7" fillId="0" borderId="1" xfId="0" applyNumberFormat="1" applyFont="1" applyFill="1" applyBorder="1" applyAlignment="1">
      <alignment vertical="center"/>
    </xf>
    <xf numFmtId="215" fontId="8" fillId="0" borderId="1" xfId="0" applyNumberFormat="1" applyFont="1" applyFill="1" applyBorder="1" applyAlignment="1">
      <alignment vertical="center"/>
    </xf>
    <xf numFmtId="40" fontId="8" fillId="0" borderId="1" xfId="0" applyNumberFormat="1" applyFont="1" applyFill="1" applyBorder="1" applyAlignment="1">
      <alignment horizontal="right" vertical="center"/>
    </xf>
    <xf numFmtId="40" fontId="7" fillId="0" borderId="1" xfId="0" applyNumberFormat="1" applyFont="1" applyFill="1" applyBorder="1" applyAlignment="1">
      <alignment vertical="top"/>
    </xf>
    <xf numFmtId="39" fontId="7" fillId="0" borderId="1" xfId="0" applyNumberFormat="1" applyFont="1" applyFill="1" applyBorder="1" applyAlignment="1">
      <alignment vertical="center"/>
    </xf>
    <xf numFmtId="37" fontId="8" fillId="0" borderId="0" xfId="0" applyNumberFormat="1" applyFont="1" applyFill="1" applyBorder="1" applyAlignment="1">
      <alignment vertical="center"/>
    </xf>
    <xf numFmtId="37" fontId="7" fillId="0" borderId="0" xfId="0" applyNumberFormat="1" applyFont="1" applyFill="1" applyBorder="1" applyAlignment="1">
      <alignment vertical="center"/>
    </xf>
    <xf numFmtId="4" fontId="38" fillId="0" borderId="1" xfId="25" applyNumberFormat="1" applyFont="1" applyBorder="1" applyAlignment="1">
      <alignment horizontal="left" vertical="center"/>
    </xf>
    <xf numFmtId="4" fontId="25" fillId="0" borderId="1" xfId="25" applyNumberFormat="1" applyFont="1" applyBorder="1" applyAlignment="1">
      <alignment horizontal="left" vertical="center"/>
    </xf>
    <xf numFmtId="38" fontId="7" fillId="0" borderId="1" xfId="0" applyNumberFormat="1" applyFont="1" applyFill="1" applyBorder="1"/>
    <xf numFmtId="0" fontId="7" fillId="0" borderId="1" xfId="5" applyFont="1" applyFill="1" applyBorder="1" applyAlignment="1">
      <alignment horizontal="left" vertical="center"/>
    </xf>
    <xf numFmtId="170" fontId="7" fillId="2" borderId="1" xfId="0" applyFont="1" applyFill="1" applyBorder="1" applyAlignment="1">
      <alignment horizontal="center" vertical="center"/>
    </xf>
    <xf numFmtId="170" fontId="7" fillId="0" borderId="0" xfId="0" applyFont="1" applyBorder="1" applyAlignment="1">
      <alignment horizontal="left" vertical="center"/>
    </xf>
    <xf numFmtId="172" fontId="7" fillId="2" borderId="1" xfId="0" applyNumberFormat="1" applyFont="1" applyFill="1" applyBorder="1" applyAlignment="1">
      <alignment horizontal="center" vertical="center" wrapText="1"/>
    </xf>
    <xf numFmtId="170" fontId="8" fillId="0" borderId="0" xfId="0" applyNumberFormat="1" applyFont="1" applyBorder="1" applyAlignment="1">
      <alignment horizontal="left" vertical="center"/>
    </xf>
    <xf numFmtId="170" fontId="7" fillId="0" borderId="0" xfId="0" applyNumberFormat="1" applyFont="1" applyBorder="1" applyAlignment="1">
      <alignment horizontal="right" vertical="center"/>
    </xf>
    <xf numFmtId="170" fontId="8" fillId="0" borderId="1" xfId="41" applyFont="1" applyBorder="1" applyAlignment="1">
      <alignment vertical="center" wrapText="1"/>
    </xf>
    <xf numFmtId="4" fontId="8" fillId="0" borderId="1" xfId="0" applyNumberFormat="1" applyFont="1" applyFill="1" applyBorder="1" applyAlignment="1">
      <alignment vertical="center"/>
    </xf>
    <xf numFmtId="4" fontId="7" fillId="0" borderId="1" xfId="0" applyNumberFormat="1" applyFont="1" applyFill="1" applyBorder="1" applyAlignment="1">
      <alignment vertical="center"/>
    </xf>
    <xf numFmtId="4" fontId="8" fillId="0" borderId="1" xfId="0" applyNumberFormat="1" applyFont="1" applyBorder="1" applyAlignment="1">
      <alignment vertical="center"/>
    </xf>
    <xf numFmtId="170" fontId="8" fillId="0" borderId="1" xfId="41" applyFont="1" applyBorder="1" applyAlignment="1">
      <alignment horizontal="center" vertical="center"/>
    </xf>
    <xf numFmtId="170" fontId="7" fillId="0" borderId="1" xfId="41" applyFont="1" applyBorder="1" applyAlignment="1">
      <alignment horizontal="center" vertical="center" wrapText="1"/>
    </xf>
    <xf numFmtId="170" fontId="7" fillId="0" borderId="1" xfId="41" applyFont="1" applyBorder="1" applyAlignment="1">
      <alignment vertical="center" wrapText="1"/>
    </xf>
    <xf numFmtId="169" fontId="7" fillId="0" borderId="1" xfId="41" applyNumberFormat="1" applyFont="1" applyBorder="1" applyAlignment="1">
      <alignment horizontal="center" vertical="center"/>
    </xf>
    <xf numFmtId="4" fontId="7" fillId="0" borderId="1" xfId="41" applyNumberFormat="1" applyFont="1" applyBorder="1" applyAlignment="1">
      <alignment vertical="center"/>
    </xf>
    <xf numFmtId="170" fontId="8" fillId="0" borderId="1" xfId="41" applyFont="1" applyBorder="1" applyAlignment="1">
      <alignment horizontal="center" vertical="top"/>
    </xf>
    <xf numFmtId="14" fontId="8" fillId="0" borderId="1" xfId="41" applyNumberFormat="1" applyFont="1" applyBorder="1" applyAlignment="1">
      <alignment horizontal="center" vertical="center" wrapText="1"/>
    </xf>
    <xf numFmtId="169" fontId="8" fillId="0" borderId="1" xfId="41" applyNumberFormat="1" applyFont="1" applyBorder="1" applyAlignment="1">
      <alignment horizontal="center" vertical="center"/>
    </xf>
    <xf numFmtId="4" fontId="8" fillId="0" borderId="1" xfId="41" applyNumberFormat="1" applyFont="1" applyBorder="1" applyAlignment="1">
      <alignment vertical="center"/>
    </xf>
    <xf numFmtId="172" fontId="8" fillId="0" borderId="0" xfId="0" applyNumberFormat="1" applyFont="1" applyBorder="1" applyAlignment="1">
      <alignment vertical="center"/>
    </xf>
    <xf numFmtId="2" fontId="7" fillId="0" borderId="1" xfId="0" applyNumberFormat="1" applyFont="1" applyBorder="1" applyAlignment="1">
      <alignment vertical="center"/>
    </xf>
    <xf numFmtId="2" fontId="8" fillId="0" borderId="1" xfId="0" applyNumberFormat="1" applyFont="1" applyBorder="1" applyAlignment="1">
      <alignment vertical="center"/>
    </xf>
    <xf numFmtId="216" fontId="7" fillId="0" borderId="1" xfId="0" applyNumberFormat="1" applyFont="1" applyFill="1" applyBorder="1" applyAlignment="1">
      <alignment vertical="center"/>
    </xf>
    <xf numFmtId="0" fontId="8" fillId="0" borderId="1" xfId="41" applyNumberFormat="1" applyFont="1" applyBorder="1" applyAlignment="1">
      <alignment horizontal="center" vertical="center"/>
    </xf>
    <xf numFmtId="0" fontId="1" fillId="0" borderId="1" xfId="42" applyBorder="1" applyAlignment="1">
      <alignment horizontal="center" vertical="center"/>
    </xf>
    <xf numFmtId="176" fontId="8" fillId="0" borderId="1" xfId="41" applyNumberFormat="1" applyFont="1" applyBorder="1" applyAlignment="1">
      <alignment horizontal="center" vertical="center"/>
    </xf>
    <xf numFmtId="169" fontId="8" fillId="0" borderId="1" xfId="41" applyNumberFormat="1" applyFont="1" applyBorder="1" applyAlignment="1">
      <alignment horizontal="left" vertical="center"/>
    </xf>
    <xf numFmtId="1" fontId="8" fillId="0" borderId="1" xfId="41" applyNumberFormat="1" applyFont="1" applyBorder="1" applyAlignment="1">
      <alignment horizontal="center" vertical="center" shrinkToFit="1"/>
    </xf>
    <xf numFmtId="1" fontId="7" fillId="0" borderId="1" xfId="41" applyNumberFormat="1" applyFont="1" applyBorder="1" applyAlignment="1">
      <alignment horizontal="center" vertical="center" shrinkToFit="1"/>
    </xf>
    <xf numFmtId="169" fontId="8" fillId="0" borderId="1" xfId="41" applyNumberFormat="1" applyFont="1" applyBorder="1" applyAlignment="1">
      <alignment horizontal="center" vertical="center" wrapText="1" shrinkToFit="1"/>
    </xf>
    <xf numFmtId="40" fontId="7" fillId="0" borderId="1" xfId="0" applyNumberFormat="1" applyFont="1" applyBorder="1" applyAlignment="1">
      <alignment vertical="top" wrapText="1"/>
    </xf>
    <xf numFmtId="40" fontId="8" fillId="0" borderId="1" xfId="0" applyNumberFormat="1" applyFont="1" applyBorder="1" applyAlignment="1">
      <alignment vertical="center"/>
    </xf>
    <xf numFmtId="40" fontId="8" fillId="0" borderId="1" xfId="0" applyNumberFormat="1" applyFont="1" applyBorder="1" applyAlignment="1">
      <alignment horizontal="center" vertical="center"/>
    </xf>
    <xf numFmtId="40" fontId="7" fillId="0" borderId="1" xfId="1" applyNumberFormat="1" applyFont="1" applyBorder="1" applyAlignment="1">
      <alignment vertical="center"/>
    </xf>
    <xf numFmtId="40" fontId="8" fillId="0" borderId="1" xfId="1" applyNumberFormat="1" applyFont="1" applyBorder="1" applyAlignment="1">
      <alignment vertical="center"/>
    </xf>
    <xf numFmtId="40" fontId="7" fillId="0" borderId="1" xfId="0" applyNumberFormat="1" applyFont="1" applyBorder="1" applyAlignment="1">
      <alignment vertical="center"/>
    </xf>
    <xf numFmtId="4" fontId="8" fillId="0" borderId="1" xfId="0" applyNumberFormat="1" applyFont="1" applyFill="1" applyBorder="1" applyAlignment="1">
      <alignment horizontal="right"/>
    </xf>
    <xf numFmtId="40" fontId="8" fillId="0" borderId="1" xfId="0" applyNumberFormat="1" applyFont="1" applyFill="1" applyBorder="1"/>
    <xf numFmtId="4" fontId="7" fillId="0" borderId="1" xfId="0" applyNumberFormat="1" applyFont="1" applyFill="1" applyBorder="1"/>
    <xf numFmtId="170" fontId="7" fillId="0" borderId="0" xfId="0" applyFont="1" applyFill="1" applyBorder="1" applyAlignment="1">
      <alignment horizontal="left" vertical="center"/>
    </xf>
    <xf numFmtId="170" fontId="7" fillId="0" borderId="0" xfId="0" applyFont="1" applyFill="1" applyBorder="1" applyAlignment="1">
      <alignment horizontal="center" vertical="center"/>
    </xf>
    <xf numFmtId="170" fontId="7" fillId="2" borderId="1" xfId="0" applyFont="1" applyFill="1" applyBorder="1" applyAlignment="1">
      <alignment horizontal="center" vertical="center" wrapText="1"/>
    </xf>
    <xf numFmtId="0" fontId="7" fillId="0" borderId="0" xfId="5" applyFont="1" applyBorder="1" applyAlignment="1">
      <alignment horizontal="center" vertical="center"/>
    </xf>
    <xf numFmtId="170" fontId="8" fillId="3" borderId="11" xfId="0" applyFont="1" applyFill="1" applyBorder="1" applyAlignment="1">
      <alignment horizontal="left" vertical="center"/>
    </xf>
    <xf numFmtId="170" fontId="8" fillId="3" borderId="12" xfId="0" applyFont="1" applyFill="1" applyBorder="1" applyAlignment="1">
      <alignment horizontal="left" vertical="center"/>
    </xf>
    <xf numFmtId="0" fontId="8" fillId="0" borderId="1" xfId="5" applyFont="1" applyFill="1" applyBorder="1" applyAlignment="1">
      <alignment horizontal="left" vertical="center"/>
    </xf>
    <xf numFmtId="170" fontId="7" fillId="0" borderId="1" xfId="0" applyFont="1" applyFill="1" applyBorder="1" applyAlignment="1">
      <alignment horizontal="left" vertical="center" wrapText="1"/>
    </xf>
    <xf numFmtId="0" fontId="7" fillId="2" borderId="1" xfId="5" applyFont="1" applyFill="1" applyBorder="1" applyAlignment="1">
      <alignment horizontal="center" vertical="center" wrapText="1"/>
    </xf>
    <xf numFmtId="0" fontId="7" fillId="0" borderId="1" xfId="5" applyFont="1" applyFill="1" applyBorder="1" applyAlignment="1">
      <alignment horizontal="left" vertical="center"/>
    </xf>
    <xf numFmtId="0" fontId="7" fillId="0" borderId="1" xfId="5" applyFont="1" applyFill="1" applyBorder="1" applyAlignment="1">
      <alignment horizontal="left" vertical="center" wrapText="1"/>
    </xf>
    <xf numFmtId="0" fontId="8" fillId="0" borderId="11" xfId="5" applyFont="1" applyFill="1" applyBorder="1" applyAlignment="1">
      <alignment horizontal="left" vertical="center"/>
    </xf>
    <xf numFmtId="0" fontId="8" fillId="0" borderId="12" xfId="5" applyFont="1" applyFill="1" applyBorder="1" applyAlignment="1">
      <alignment horizontal="left" vertical="center"/>
    </xf>
    <xf numFmtId="170" fontId="7" fillId="2" borderId="1" xfId="0" applyFont="1" applyFill="1" applyBorder="1" applyAlignment="1">
      <alignment horizontal="center" vertical="center"/>
    </xf>
    <xf numFmtId="170" fontId="7" fillId="0" borderId="0" xfId="0" applyFont="1" applyBorder="1" applyAlignment="1">
      <alignment horizontal="center" vertical="center"/>
    </xf>
    <xf numFmtId="170" fontId="7" fillId="0" borderId="0" xfId="0" applyFont="1" applyBorder="1" applyAlignment="1">
      <alignment horizontal="left" vertical="center"/>
    </xf>
    <xf numFmtId="170" fontId="7" fillId="0" borderId="0" xfId="0" applyFont="1" applyBorder="1" applyAlignment="1">
      <alignment horizontal="left"/>
    </xf>
    <xf numFmtId="177" fontId="8" fillId="0" borderId="0" xfId="0" applyNumberFormat="1" applyFont="1" applyBorder="1" applyAlignment="1">
      <alignment horizontal="justify" vertical="top" wrapText="1"/>
    </xf>
    <xf numFmtId="170" fontId="7" fillId="2" borderId="1" xfId="0" applyNumberFormat="1" applyFont="1" applyFill="1" applyBorder="1" applyAlignment="1">
      <alignment horizontal="center" vertical="center"/>
    </xf>
    <xf numFmtId="170" fontId="7" fillId="0" borderId="0" xfId="0" applyNumberFormat="1" applyFont="1" applyFill="1" applyBorder="1" applyAlignment="1">
      <alignment horizontal="left" vertical="center"/>
    </xf>
    <xf numFmtId="170" fontId="7" fillId="2" borderId="1" xfId="0" applyNumberFormat="1" applyFont="1" applyFill="1" applyBorder="1" applyAlignment="1">
      <alignment horizontal="center" vertical="center" wrapText="1"/>
    </xf>
    <xf numFmtId="170" fontId="7" fillId="2" borderId="9" xfId="0" applyNumberFormat="1" applyFont="1" applyFill="1" applyBorder="1" applyAlignment="1">
      <alignment horizontal="center" vertical="center"/>
    </xf>
    <xf numFmtId="170" fontId="7" fillId="2" borderId="10" xfId="0" applyNumberFormat="1" applyFont="1" applyFill="1" applyBorder="1" applyAlignment="1">
      <alignment horizontal="center" vertical="center"/>
    </xf>
    <xf numFmtId="170" fontId="7" fillId="2" borderId="9" xfId="0" applyNumberFormat="1" applyFont="1" applyFill="1" applyBorder="1" applyAlignment="1">
      <alignment horizontal="center" vertical="center" wrapText="1"/>
    </xf>
    <xf numFmtId="170" fontId="7" fillId="2" borderId="10" xfId="0" applyNumberFormat="1" applyFont="1" applyFill="1" applyBorder="1" applyAlignment="1">
      <alignment horizontal="center" vertical="center" wrapText="1"/>
    </xf>
    <xf numFmtId="175" fontId="7" fillId="2" borderId="1" xfId="0" applyNumberFormat="1" applyFont="1" applyFill="1" applyBorder="1" applyAlignment="1">
      <alignment horizontal="center" vertical="center" wrapText="1"/>
    </xf>
    <xf numFmtId="175" fontId="7" fillId="2" borderId="1" xfId="0" applyNumberFormat="1" applyFont="1" applyFill="1" applyBorder="1" applyAlignment="1">
      <alignment horizontal="center" vertical="center"/>
    </xf>
    <xf numFmtId="175" fontId="7" fillId="0" borderId="0" xfId="0" applyNumberFormat="1" applyFont="1" applyBorder="1" applyAlignment="1">
      <alignment horizontal="left" vertical="center"/>
    </xf>
    <xf numFmtId="170" fontId="7" fillId="0" borderId="0" xfId="0" applyFont="1" applyFill="1" applyBorder="1" applyAlignment="1">
      <alignment horizontal="left"/>
    </xf>
    <xf numFmtId="173" fontId="7" fillId="2" borderId="1" xfId="0" applyNumberFormat="1" applyFont="1" applyFill="1" applyBorder="1" applyAlignment="1">
      <alignment horizontal="center" vertical="center" wrapText="1"/>
    </xf>
    <xf numFmtId="170" fontId="8" fillId="0" borderId="11" xfId="0" applyFont="1" applyBorder="1" applyAlignment="1">
      <alignment horizontal="left" vertical="center"/>
    </xf>
    <xf numFmtId="170" fontId="8" fillId="0" borderId="12" xfId="0" applyFont="1" applyBorder="1" applyAlignment="1">
      <alignment horizontal="left" vertical="center"/>
    </xf>
    <xf numFmtId="170" fontId="8" fillId="0" borderId="11" xfId="0" applyFont="1" applyBorder="1" applyAlignment="1">
      <alignment horizontal="left" vertical="center" wrapText="1"/>
    </xf>
    <xf numFmtId="170" fontId="8" fillId="0" borderId="12" xfId="0" applyFont="1" applyBorder="1" applyAlignment="1">
      <alignment horizontal="left" vertical="center" wrapText="1"/>
    </xf>
    <xf numFmtId="170" fontId="7" fillId="0" borderId="0" xfId="0" applyFont="1" applyBorder="1" applyAlignment="1">
      <alignment horizontal="left" vertical="center" wrapText="1"/>
    </xf>
    <xf numFmtId="170" fontId="7" fillId="2" borderId="13" xfId="0" applyFont="1" applyFill="1" applyBorder="1" applyAlignment="1">
      <alignment horizontal="center" vertical="center"/>
    </xf>
    <xf numFmtId="170" fontId="7" fillId="2" borderId="14" xfId="0" applyFont="1" applyFill="1" applyBorder="1" applyAlignment="1">
      <alignment horizontal="center" vertical="center"/>
    </xf>
    <xf numFmtId="170" fontId="7" fillId="2" borderId="7" xfId="0" applyFont="1" applyFill="1" applyBorder="1" applyAlignment="1">
      <alignment horizontal="center" vertical="center"/>
    </xf>
    <xf numFmtId="170" fontId="7" fillId="2" borderId="8" xfId="0" applyFont="1" applyFill="1" applyBorder="1" applyAlignment="1">
      <alignment horizontal="center" vertical="center"/>
    </xf>
    <xf numFmtId="172" fontId="7" fillId="2" borderId="1" xfId="0" applyNumberFormat="1" applyFont="1" applyFill="1" applyBorder="1" applyAlignment="1">
      <alignment horizontal="center" vertical="center" wrapText="1"/>
    </xf>
    <xf numFmtId="170" fontId="7" fillId="2" borderId="9" xfId="0" applyFont="1" applyFill="1" applyBorder="1" applyAlignment="1">
      <alignment horizontal="center" vertical="center" wrapText="1"/>
    </xf>
    <xf numFmtId="170" fontId="7" fillId="2" borderId="10" xfId="0" applyFont="1" applyFill="1" applyBorder="1" applyAlignment="1">
      <alignment horizontal="center" vertical="center" wrapText="1"/>
    </xf>
    <xf numFmtId="172" fontId="7" fillId="2" borderId="1" xfId="0" applyNumberFormat="1" applyFont="1" applyFill="1" applyBorder="1" applyAlignment="1">
      <alignment horizontal="center" vertical="center"/>
    </xf>
    <xf numFmtId="170" fontId="27" fillId="0" borderId="11" xfId="0" applyFont="1" applyBorder="1" applyAlignment="1">
      <alignment horizontal="center" vertical="center" wrapText="1"/>
    </xf>
    <xf numFmtId="170" fontId="27" fillId="0" borderId="12" xfId="0" applyFont="1" applyBorder="1" applyAlignment="1">
      <alignment horizontal="center" vertical="center" wrapText="1"/>
    </xf>
    <xf numFmtId="0" fontId="3" fillId="10" borderId="20" xfId="12" applyFont="1" applyFill="1" applyBorder="1" applyAlignment="1">
      <alignment horizontal="left" vertical="center" wrapText="1"/>
    </xf>
    <xf numFmtId="0" fontId="3" fillId="10" borderId="21" xfId="12" applyFont="1" applyFill="1" applyBorder="1" applyAlignment="1">
      <alignment horizontal="left" vertical="center" wrapText="1"/>
    </xf>
    <xf numFmtId="0" fontId="3" fillId="10" borderId="22" xfId="12" applyFont="1" applyFill="1" applyBorder="1" applyAlignment="1">
      <alignment horizontal="left" vertical="center" wrapText="1"/>
    </xf>
    <xf numFmtId="167" fontId="22" fillId="0" borderId="0" xfId="1" applyFont="1" applyFill="1" applyBorder="1" applyAlignment="1">
      <alignment wrapText="1"/>
    </xf>
    <xf numFmtId="167" fontId="22" fillId="0" borderId="16" xfId="1" applyFont="1" applyFill="1" applyBorder="1" applyAlignment="1">
      <alignment wrapText="1"/>
    </xf>
    <xf numFmtId="167" fontId="22" fillId="0" borderId="0" xfId="1" applyFont="1" applyFill="1" applyBorder="1" applyAlignment="1">
      <alignment horizontal="left" vertical="top" wrapText="1"/>
    </xf>
    <xf numFmtId="167" fontId="22" fillId="0" borderId="16" xfId="1" applyFont="1" applyFill="1" applyBorder="1" applyAlignment="1">
      <alignment horizontal="left" vertical="top" wrapText="1"/>
    </xf>
    <xf numFmtId="167" fontId="22" fillId="0" borderId="0" xfId="1" applyFont="1" applyFill="1" applyBorder="1" applyAlignment="1">
      <alignment horizontal="justify" wrapText="1"/>
    </xf>
    <xf numFmtId="167" fontId="22" fillId="0" borderId="16" xfId="1" applyFont="1" applyFill="1" applyBorder="1" applyAlignment="1">
      <alignment horizontal="justify" wrapText="1"/>
    </xf>
    <xf numFmtId="167" fontId="22" fillId="0" borderId="0" xfId="1" applyFont="1" applyFill="1" applyBorder="1" applyAlignment="1">
      <alignment horizontal="justify" vertical="top" wrapText="1"/>
    </xf>
    <xf numFmtId="167" fontId="22" fillId="0" borderId="16" xfId="1" applyFont="1" applyFill="1" applyBorder="1" applyAlignment="1">
      <alignment horizontal="justify" vertical="top" wrapText="1"/>
    </xf>
    <xf numFmtId="170" fontId="20" fillId="0" borderId="0" xfId="0" applyFont="1" applyAlignment="1">
      <alignment horizontal="justify" vertical="justify" wrapText="1"/>
    </xf>
    <xf numFmtId="170" fontId="20" fillId="0" borderId="16" xfId="0" applyFont="1" applyBorder="1" applyAlignment="1">
      <alignment horizontal="justify" vertical="justify" wrapText="1"/>
    </xf>
    <xf numFmtId="170" fontId="20" fillId="0" borderId="23" xfId="0" applyFont="1" applyBorder="1" applyAlignment="1">
      <alignment horizontal="justify" vertical="justify" wrapText="1"/>
    </xf>
    <xf numFmtId="170" fontId="20" fillId="0" borderId="8" xfId="0" applyFont="1" applyBorder="1" applyAlignment="1">
      <alignment horizontal="justify" vertical="justify" wrapText="1"/>
    </xf>
    <xf numFmtId="170" fontId="3" fillId="0" borderId="24" xfId="0" applyFont="1" applyBorder="1" applyAlignment="1">
      <alignment horizontal="justify" vertical="justify" wrapText="1"/>
    </xf>
    <xf numFmtId="170" fontId="3" fillId="0" borderId="14" xfId="0" applyFont="1" applyBorder="1" applyAlignment="1">
      <alignment horizontal="justify" vertical="justify" wrapText="1"/>
    </xf>
    <xf numFmtId="170" fontId="3" fillId="0" borderId="0" xfId="0" applyFont="1" applyAlignment="1">
      <alignment horizontal="justify" vertical="justify" wrapText="1"/>
    </xf>
    <xf numFmtId="170" fontId="3" fillId="0" borderId="16" xfId="0" applyFont="1" applyBorder="1" applyAlignment="1">
      <alignment horizontal="justify" vertical="justify" wrapText="1"/>
    </xf>
    <xf numFmtId="170" fontId="3" fillId="0" borderId="23" xfId="0" applyFont="1" applyBorder="1" applyAlignment="1">
      <alignment horizontal="justify" vertical="justify" wrapText="1"/>
    </xf>
    <xf numFmtId="170" fontId="3" fillId="0" borderId="8" xfId="0" applyFont="1" applyBorder="1" applyAlignment="1">
      <alignment horizontal="justify" vertical="justify" wrapText="1"/>
    </xf>
    <xf numFmtId="170" fontId="0" fillId="0" borderId="4" xfId="0" applyBorder="1" applyAlignment="1">
      <alignment horizontal="left" wrapText="1"/>
    </xf>
    <xf numFmtId="170" fontId="0" fillId="0" borderId="16" xfId="0" applyBorder="1" applyAlignment="1">
      <alignment horizontal="left" wrapText="1"/>
    </xf>
    <xf numFmtId="170" fontId="0" fillId="0" borderId="7" xfId="0" applyBorder="1" applyAlignment="1">
      <alignment horizontal="left" wrapText="1"/>
    </xf>
    <xf numFmtId="170" fontId="0" fillId="0" borderId="8" xfId="0" applyBorder="1" applyAlignment="1">
      <alignment horizontal="left" wrapText="1"/>
    </xf>
    <xf numFmtId="170" fontId="3" fillId="0" borderId="24" xfId="0" applyFont="1" applyBorder="1" applyAlignment="1">
      <alignment horizontal="center" vertical="top" wrapText="1"/>
    </xf>
    <xf numFmtId="170" fontId="3" fillId="0" borderId="14" xfId="0" applyFont="1" applyBorder="1" applyAlignment="1">
      <alignment horizontal="center" vertical="top" wrapText="1"/>
    </xf>
    <xf numFmtId="170" fontId="3" fillId="0" borderId="0" xfId="0" applyFont="1" applyBorder="1" applyAlignment="1">
      <alignment horizontal="center" vertical="top" wrapText="1"/>
    </xf>
    <xf numFmtId="170" fontId="3" fillId="0" borderId="16" xfId="0" applyFont="1" applyBorder="1" applyAlignment="1">
      <alignment horizontal="center" vertical="top" wrapText="1"/>
    </xf>
    <xf numFmtId="170" fontId="3" fillId="0" borderId="23" xfId="0" applyFont="1" applyBorder="1" applyAlignment="1">
      <alignment horizontal="center" vertical="top" wrapText="1"/>
    </xf>
    <xf numFmtId="170" fontId="3" fillId="0" borderId="8" xfId="0" applyFont="1" applyBorder="1" applyAlignment="1">
      <alignment horizontal="center" vertical="top" wrapText="1"/>
    </xf>
    <xf numFmtId="170" fontId="20" fillId="0" borderId="24" xfId="0" applyFont="1" applyBorder="1" applyAlignment="1">
      <alignment horizontal="justify" vertical="justify" wrapText="1"/>
    </xf>
    <xf numFmtId="170" fontId="20" fillId="0" borderId="14" xfId="0" applyFont="1" applyBorder="1" applyAlignment="1">
      <alignment horizontal="justify" vertical="justify" wrapText="1"/>
    </xf>
    <xf numFmtId="170" fontId="0" fillId="0" borderId="11" xfId="0" applyBorder="1" applyAlignment="1">
      <alignment horizontal="left" vertical="center"/>
    </xf>
    <xf numFmtId="170" fontId="0" fillId="0" borderId="12" xfId="0" applyBorder="1" applyAlignment="1">
      <alignment horizontal="left" vertical="center"/>
    </xf>
    <xf numFmtId="182" fontId="27" fillId="0" borderId="1" xfId="1" applyNumberFormat="1" applyFont="1" applyFill="1" applyBorder="1" applyAlignment="1">
      <alignment horizontal="center" vertical="center"/>
    </xf>
    <xf numFmtId="182" fontId="27" fillId="0" borderId="1" xfId="1" applyNumberFormat="1" applyFont="1" applyFill="1" applyBorder="1" applyAlignment="1">
      <alignment horizontal="center"/>
    </xf>
    <xf numFmtId="2" fontId="27" fillId="0" borderId="0" xfId="0" applyNumberFormat="1" applyFont="1" applyAlignment="1">
      <alignment horizontal="center" vertical="center"/>
    </xf>
    <xf numFmtId="182" fontId="3" fillId="0" borderId="0" xfId="1" applyNumberFormat="1" applyFont="1" applyFill="1" applyBorder="1" applyAlignment="1">
      <alignment horizontal="center" vertical="center" wrapText="1"/>
    </xf>
    <xf numFmtId="182" fontId="3" fillId="0" borderId="1" xfId="1" applyNumberFormat="1" applyFont="1" applyFill="1" applyBorder="1" applyAlignment="1">
      <alignment horizontal="center" vertical="center"/>
    </xf>
    <xf numFmtId="167" fontId="38" fillId="0" borderId="1" xfId="1" applyFont="1" applyFill="1" applyBorder="1" applyAlignment="1">
      <alignment horizontal="center"/>
    </xf>
    <xf numFmtId="170" fontId="18" fillId="0" borderId="11" xfId="0" applyFont="1" applyBorder="1" applyAlignment="1">
      <alignment horizontal="center" vertical="center"/>
    </xf>
    <xf numFmtId="170" fontId="18" fillId="0" borderId="12" xfId="0" applyFont="1" applyBorder="1" applyAlignment="1">
      <alignment horizontal="center" vertical="center"/>
    </xf>
    <xf numFmtId="170" fontId="18" fillId="0" borderId="11" xfId="0" applyFont="1" applyBorder="1" applyAlignment="1">
      <alignment horizontal="right" vertical="center"/>
    </xf>
    <xf numFmtId="170" fontId="18" fillId="0" borderId="12" xfId="0" applyFont="1" applyBorder="1" applyAlignment="1">
      <alignment horizontal="right" vertical="center"/>
    </xf>
    <xf numFmtId="170" fontId="18" fillId="0" borderId="23" xfId="0" applyFont="1" applyBorder="1" applyAlignment="1">
      <alignment horizontal="left"/>
    </xf>
    <xf numFmtId="170" fontId="18" fillId="0" borderId="11" xfId="0" applyFont="1" applyBorder="1" applyAlignment="1">
      <alignment horizontal="center" vertical="center" wrapText="1"/>
    </xf>
    <xf numFmtId="170" fontId="18" fillId="0" borderId="12" xfId="0" applyFont="1" applyBorder="1" applyAlignment="1">
      <alignment horizontal="center" vertical="center" wrapText="1"/>
    </xf>
    <xf numFmtId="170" fontId="3" fillId="0" borderId="11" xfId="0" applyFont="1" applyBorder="1" applyAlignment="1">
      <alignment horizontal="left" vertical="center" wrapText="1"/>
    </xf>
    <xf numFmtId="170" fontId="0" fillId="0" borderId="12" xfId="0" applyBorder="1" applyAlignment="1">
      <alignment horizontal="left" vertical="center" wrapText="1"/>
    </xf>
    <xf numFmtId="2" fontId="3" fillId="3" borderId="4" xfId="0" applyNumberFormat="1" applyFont="1" applyFill="1" applyBorder="1" applyAlignment="1">
      <alignment horizontal="center" vertical="center" wrapText="1"/>
    </xf>
    <xf numFmtId="170" fontId="0" fillId="0" borderId="11" xfId="0" applyBorder="1" applyAlignment="1">
      <alignment horizontal="left"/>
    </xf>
    <xf numFmtId="170" fontId="0" fillId="0" borderId="12" xfId="0" applyBorder="1" applyAlignment="1">
      <alignment horizontal="left"/>
    </xf>
    <xf numFmtId="170" fontId="0" fillId="0" borderId="11" xfId="0" applyBorder="1" applyAlignment="1">
      <alignment horizontal="left" vertical="center" wrapText="1"/>
    </xf>
    <xf numFmtId="170" fontId="3" fillId="0" borderId="11" xfId="0" applyFont="1" applyBorder="1" applyAlignment="1">
      <alignment horizontal="left" vertical="center"/>
    </xf>
    <xf numFmtId="4" fontId="18" fillId="0" borderId="1" xfId="0" applyNumberFormat="1" applyFont="1" applyBorder="1" applyAlignment="1">
      <alignment horizontal="right" vertical="center"/>
    </xf>
    <xf numFmtId="170" fontId="18" fillId="0" borderId="1" xfId="0" applyFont="1" applyBorder="1" applyAlignment="1">
      <alignment horizontal="right" vertical="center"/>
    </xf>
    <xf numFmtId="170" fontId="0" fillId="0" borderId="11" xfId="0" applyBorder="1" applyAlignment="1">
      <alignment horizontal="center" vertical="center"/>
    </xf>
    <xf numFmtId="170" fontId="0" fillId="0" borderId="12" xfId="0" applyBorder="1" applyAlignment="1">
      <alignment horizontal="center" vertical="center"/>
    </xf>
    <xf numFmtId="170" fontId="0" fillId="0" borderId="15" xfId="0" applyBorder="1" applyAlignment="1">
      <alignment horizontal="center" vertical="center"/>
    </xf>
    <xf numFmtId="170" fontId="3" fillId="0" borderId="12" xfId="0" applyFont="1" applyBorder="1" applyAlignment="1">
      <alignment horizontal="left" vertical="center"/>
    </xf>
    <xf numFmtId="167" fontId="0" fillId="0" borderId="16" xfId="1" applyFont="1" applyBorder="1" applyAlignment="1">
      <alignment horizontal="center" vertical="center" wrapText="1"/>
    </xf>
    <xf numFmtId="170" fontId="38" fillId="0" borderId="11" xfId="0" applyFont="1" applyBorder="1" applyAlignment="1">
      <alignment horizontal="center"/>
    </xf>
    <xf numFmtId="170" fontId="38" fillId="0" borderId="15" xfId="0" applyFont="1" applyBorder="1" applyAlignment="1">
      <alignment horizontal="center"/>
    </xf>
    <xf numFmtId="170" fontId="38" fillId="0" borderId="12" xfId="0" applyFont="1" applyBorder="1" applyAlignment="1">
      <alignment horizontal="center"/>
    </xf>
    <xf numFmtId="167" fontId="27" fillId="0" borderId="11" xfId="1" applyFont="1" applyBorder="1" applyAlignment="1">
      <alignment horizontal="center" vertical="center"/>
    </xf>
    <xf numFmtId="167" fontId="27" fillId="0" borderId="12" xfId="1" applyFont="1" applyBorder="1" applyAlignment="1">
      <alignment horizontal="center" vertical="center"/>
    </xf>
    <xf numFmtId="167" fontId="0" fillId="0" borderId="16" xfId="1" applyFont="1" applyBorder="1" applyAlignment="1">
      <alignment horizontal="center" vertical="center"/>
    </xf>
    <xf numFmtId="170" fontId="3" fillId="0" borderId="1" xfId="0" applyFont="1" applyBorder="1" applyAlignment="1">
      <alignment vertical="center"/>
    </xf>
    <xf numFmtId="167" fontId="3" fillId="0" borderId="1" xfId="1" applyFont="1" applyFill="1" applyBorder="1" applyAlignment="1">
      <alignment horizontal="center" vertical="center"/>
    </xf>
    <xf numFmtId="170" fontId="27" fillId="0" borderId="11" xfId="0" applyFont="1" applyBorder="1" applyAlignment="1">
      <alignment vertical="center"/>
    </xf>
    <xf numFmtId="170" fontId="23" fillId="0" borderId="12" xfId="0" applyFont="1" applyBorder="1" applyAlignment="1">
      <alignment horizontal="center" vertical="center" wrapText="1"/>
    </xf>
    <xf numFmtId="170" fontId="57" fillId="0" borderId="1" xfId="0" applyFont="1" applyBorder="1" applyAlignment="1">
      <alignment horizontal="center" vertical="center" wrapText="1"/>
    </xf>
    <xf numFmtId="167" fontId="27" fillId="0" borderId="1" xfId="1" applyFont="1" applyFill="1" applyBorder="1" applyAlignment="1">
      <alignment horizontal="center" vertical="center"/>
    </xf>
    <xf numFmtId="167" fontId="27" fillId="0" borderId="11" xfId="1" applyFont="1" applyFill="1" applyBorder="1" applyAlignment="1">
      <alignment horizontal="center" vertical="center"/>
    </xf>
    <xf numFmtId="167" fontId="27" fillId="0" borderId="12" xfId="1" applyFont="1" applyFill="1" applyBorder="1" applyAlignment="1">
      <alignment horizontal="center" vertical="center"/>
    </xf>
    <xf numFmtId="170" fontId="22" fillId="0" borderId="1" xfId="0" applyFont="1" applyBorder="1" applyAlignment="1">
      <alignment horizontal="center" vertical="center" wrapText="1"/>
    </xf>
    <xf numFmtId="170" fontId="3" fillId="0" borderId="4" xfId="0" applyFont="1" applyBorder="1" applyAlignment="1">
      <alignment horizontal="left" vertical="center" wrapText="1"/>
    </xf>
    <xf numFmtId="170" fontId="3" fillId="0" borderId="0" xfId="0" applyFont="1" applyAlignment="1">
      <alignment horizontal="left" vertical="center" wrapText="1"/>
    </xf>
    <xf numFmtId="170" fontId="3" fillId="0" borderId="16" xfId="0" applyFont="1" applyBorder="1" applyAlignment="1">
      <alignment horizontal="left" vertical="center" wrapText="1"/>
    </xf>
    <xf numFmtId="167" fontId="57" fillId="0" borderId="1" xfId="1" applyFont="1" applyFill="1" applyBorder="1" applyAlignment="1">
      <alignment horizontal="center" vertical="center"/>
    </xf>
    <xf numFmtId="0" fontId="72" fillId="0" borderId="23" xfId="20" applyFont="1" applyBorder="1" applyAlignment="1">
      <alignment horizontal="left" vertical="center" wrapText="1"/>
    </xf>
    <xf numFmtId="0" fontId="73" fillId="0" borderId="1" xfId="20" applyFont="1" applyBorder="1" applyAlignment="1">
      <alignment horizontal="center" vertical="center" wrapText="1"/>
    </xf>
    <xf numFmtId="183" fontId="74" fillId="0" borderId="15" xfId="1" applyNumberFormat="1" applyFont="1" applyFill="1" applyBorder="1" applyAlignment="1">
      <alignment horizontal="right" vertical="top" wrapText="1"/>
    </xf>
    <xf numFmtId="183" fontId="74" fillId="0" borderId="12" xfId="1" applyNumberFormat="1" applyFont="1" applyFill="1" applyBorder="1" applyAlignment="1">
      <alignment horizontal="right" vertical="top" wrapText="1"/>
    </xf>
    <xf numFmtId="167" fontId="75" fillId="0" borderId="11" xfId="1" applyFont="1" applyFill="1" applyBorder="1" applyAlignment="1">
      <alignment horizontal="center" vertical="center" wrapText="1"/>
    </xf>
    <xf numFmtId="167" fontId="75" fillId="0" borderId="12" xfId="1" applyFont="1" applyFill="1" applyBorder="1" applyAlignment="1">
      <alignment horizontal="center" vertical="center" wrapText="1"/>
    </xf>
    <xf numFmtId="167" fontId="75" fillId="0" borderId="9" xfId="1" applyFont="1" applyFill="1" applyBorder="1" applyAlignment="1">
      <alignment horizontal="center" vertical="center" wrapText="1"/>
    </xf>
    <xf numFmtId="167" fontId="75" fillId="0" borderId="10" xfId="1" applyFont="1" applyFill="1" applyBorder="1" applyAlignment="1">
      <alignment horizontal="center" vertical="center" wrapText="1"/>
    </xf>
    <xf numFmtId="0" fontId="81" fillId="0" borderId="4" xfId="20" applyFont="1" applyBorder="1" applyAlignment="1">
      <alignment horizontal="left"/>
    </xf>
    <xf numFmtId="0" fontId="81" fillId="0" borderId="0" xfId="20" applyFont="1" applyBorder="1" applyAlignment="1">
      <alignment horizontal="left"/>
    </xf>
    <xf numFmtId="0" fontId="81" fillId="0" borderId="16" xfId="20" applyFont="1" applyBorder="1" applyAlignment="1">
      <alignment horizontal="left"/>
    </xf>
    <xf numFmtId="2" fontId="75" fillId="0" borderId="9" xfId="1" applyNumberFormat="1" applyFont="1" applyFill="1" applyBorder="1" applyAlignment="1">
      <alignment horizontal="center" vertical="center" wrapText="1"/>
    </xf>
    <xf numFmtId="2" fontId="75" fillId="0" borderId="10" xfId="1" applyNumberFormat="1" applyFont="1" applyFill="1" applyBorder="1" applyAlignment="1">
      <alignment horizontal="center" vertical="center" wrapText="1"/>
    </xf>
    <xf numFmtId="167" fontId="75" fillId="0" borderId="14" xfId="1" applyFont="1" applyFill="1" applyBorder="1" applyAlignment="1">
      <alignment horizontal="center" vertical="center" wrapText="1"/>
    </xf>
    <xf numFmtId="167" fontId="75" fillId="0" borderId="8" xfId="1" applyFont="1" applyFill="1" applyBorder="1" applyAlignment="1">
      <alignment horizontal="center" vertical="center" wrapText="1"/>
    </xf>
    <xf numFmtId="170" fontId="25" fillId="0" borderId="1" xfId="0" applyFont="1" applyBorder="1" applyAlignment="1">
      <alignment horizontal="justify" vertical="justify" wrapText="1"/>
    </xf>
    <xf numFmtId="170" fontId="25" fillId="0" borderId="10" xfId="0" applyFont="1" applyBorder="1" applyAlignment="1">
      <alignment horizontal="justify" vertical="justify" wrapText="1"/>
    </xf>
    <xf numFmtId="4" fontId="38" fillId="0" borderId="4" xfId="25" applyNumberFormat="1" applyFont="1" applyBorder="1" applyAlignment="1">
      <alignment horizontal="center" vertical="center"/>
    </xf>
    <xf numFmtId="4" fontId="38" fillId="0" borderId="0" xfId="25" applyNumberFormat="1" applyFont="1" applyBorder="1" applyAlignment="1">
      <alignment horizontal="center" vertical="center"/>
    </xf>
    <xf numFmtId="4" fontId="38" fillId="0" borderId="16" xfId="25" applyNumberFormat="1" applyFont="1" applyBorder="1" applyAlignment="1">
      <alignment horizontal="center" vertical="center"/>
    </xf>
    <xf numFmtId="4" fontId="38" fillId="0" borderId="11" xfId="25" applyNumberFormat="1" applyFont="1" applyBorder="1" applyAlignment="1">
      <alignment horizontal="center" vertical="center"/>
    </xf>
    <xf numFmtId="4" fontId="38" fillId="0" borderId="15" xfId="25" applyNumberFormat="1" applyFont="1" applyBorder="1" applyAlignment="1">
      <alignment horizontal="center" vertical="center"/>
    </xf>
    <xf numFmtId="4" fontId="38" fillId="0" borderId="12" xfId="25" applyNumberFormat="1" applyFont="1" applyBorder="1" applyAlignment="1">
      <alignment horizontal="center" vertical="center"/>
    </xf>
    <xf numFmtId="4" fontId="38" fillId="0" borderId="4" xfId="25" quotePrefix="1" applyNumberFormat="1" applyFont="1" applyBorder="1" applyAlignment="1">
      <alignment horizontal="center" vertical="center"/>
    </xf>
    <xf numFmtId="4" fontId="38" fillId="0" borderId="0" xfId="25" quotePrefix="1" applyNumberFormat="1" applyFont="1" applyBorder="1" applyAlignment="1">
      <alignment horizontal="center" vertical="center"/>
    </xf>
    <xf numFmtId="4" fontId="38" fillId="0" borderId="16" xfId="25" quotePrefix="1" applyNumberFormat="1" applyFont="1" applyBorder="1" applyAlignment="1">
      <alignment horizontal="center" vertical="center"/>
    </xf>
    <xf numFmtId="4" fontId="38" fillId="0" borderId="4" xfId="25" applyNumberFormat="1" applyFont="1" applyBorder="1" applyAlignment="1">
      <alignment horizontal="left" vertical="center" wrapText="1"/>
    </xf>
    <xf numFmtId="4" fontId="38" fillId="0" borderId="0" xfId="25" applyNumberFormat="1" applyFont="1" applyBorder="1" applyAlignment="1">
      <alignment horizontal="left" vertical="center" wrapText="1"/>
    </xf>
    <xf numFmtId="4" fontId="25" fillId="0" borderId="4" xfId="25" applyNumberFormat="1" applyFont="1" applyBorder="1" applyAlignment="1">
      <alignment horizontal="left" vertical="center" wrapText="1"/>
    </xf>
    <xf numFmtId="4" fontId="25" fillId="0" borderId="0" xfId="25" applyNumberFormat="1" applyFont="1" applyBorder="1" applyAlignment="1">
      <alignment horizontal="left" vertical="center" wrapText="1"/>
    </xf>
    <xf numFmtId="4" fontId="38" fillId="0" borderId="13" xfId="25" applyNumberFormat="1" applyFont="1" applyBorder="1" applyAlignment="1">
      <alignment horizontal="center" vertical="center"/>
    </xf>
    <xf numFmtId="4" fontId="38" fillId="0" borderId="24" xfId="25" applyNumberFormat="1" applyFont="1" applyBorder="1" applyAlignment="1">
      <alignment horizontal="center" vertical="center"/>
    </xf>
    <xf numFmtId="4" fontId="38" fillId="0" borderId="14" xfId="25" applyNumberFormat="1" applyFont="1" applyBorder="1" applyAlignment="1">
      <alignment horizontal="center" vertical="center"/>
    </xf>
    <xf numFmtId="0" fontId="93" fillId="0" borderId="1" xfId="27" applyFont="1" applyBorder="1" applyAlignment="1">
      <alignment horizontal="center" vertical="center" wrapText="1"/>
    </xf>
    <xf numFmtId="167" fontId="93" fillId="0" borderId="1" xfId="1" applyFont="1" applyFill="1" applyBorder="1" applyAlignment="1">
      <alignment horizontal="center"/>
    </xf>
    <xf numFmtId="167" fontId="93" fillId="0" borderId="8" xfId="1" applyFont="1" applyFill="1" applyBorder="1" applyAlignment="1">
      <alignment horizontal="center"/>
    </xf>
    <xf numFmtId="167" fontId="93" fillId="0" borderId="10" xfId="1" applyFont="1" applyFill="1" applyBorder="1" applyAlignment="1">
      <alignment horizontal="center"/>
    </xf>
    <xf numFmtId="167" fontId="93" fillId="0" borderId="12" xfId="1" applyFont="1" applyFill="1" applyBorder="1" applyAlignment="1">
      <alignment horizontal="center"/>
    </xf>
    <xf numFmtId="167" fontId="93" fillId="0" borderId="11" xfId="1" applyFont="1" applyFill="1" applyBorder="1" applyAlignment="1">
      <alignment horizontal="center"/>
    </xf>
    <xf numFmtId="167" fontId="93" fillId="0" borderId="15" xfId="1" applyFont="1" applyFill="1" applyBorder="1" applyAlignment="1">
      <alignment horizontal="center"/>
    </xf>
    <xf numFmtId="167" fontId="93" fillId="0" borderId="11" xfId="1" applyFont="1" applyFill="1" applyBorder="1" applyAlignment="1">
      <alignment horizontal="center" vertical="center"/>
    </xf>
    <xf numFmtId="167" fontId="93" fillId="0" borderId="12" xfId="1" applyFont="1" applyFill="1" applyBorder="1" applyAlignment="1">
      <alignment horizontal="center" vertical="center"/>
    </xf>
    <xf numFmtId="0" fontId="93" fillId="0" borderId="1" xfId="27" applyFont="1" applyBorder="1" applyAlignment="1">
      <alignment horizontal="left"/>
    </xf>
    <xf numFmtId="0" fontId="92" fillId="0" borderId="4" xfId="27" applyFont="1" applyBorder="1" applyAlignment="1">
      <alignment horizontal="left" wrapText="1"/>
    </xf>
    <xf numFmtId="0" fontId="92" fillId="0" borderId="0" xfId="27" applyFont="1" applyAlignment="1">
      <alignment horizontal="left" wrapText="1"/>
    </xf>
    <xf numFmtId="0" fontId="93" fillId="0" borderId="4" xfId="27" applyFont="1" applyBorder="1" applyAlignment="1">
      <alignment horizontal="left" wrapText="1"/>
    </xf>
    <xf numFmtId="0" fontId="93" fillId="0" borderId="0" xfId="27" applyFont="1" applyAlignment="1">
      <alignment horizontal="left" wrapText="1"/>
    </xf>
    <xf numFmtId="183" fontId="93" fillId="0" borderId="15" xfId="1" applyNumberFormat="1" applyFont="1" applyFill="1" applyBorder="1" applyAlignment="1">
      <alignment horizontal="center"/>
    </xf>
    <xf numFmtId="183" fontId="93" fillId="0" borderId="12" xfId="1" applyNumberFormat="1" applyFont="1" applyFill="1" applyBorder="1" applyAlignment="1">
      <alignment horizontal="center"/>
    </xf>
    <xf numFmtId="0" fontId="93" fillId="0" borderId="11" xfId="27" applyFont="1" applyBorder="1" applyAlignment="1">
      <alignment horizontal="left" vertical="center" wrapText="1"/>
    </xf>
    <xf numFmtId="0" fontId="93" fillId="0" borderId="12" xfId="27" applyFont="1" applyBorder="1" applyAlignment="1">
      <alignment horizontal="left" vertical="center" wrapText="1"/>
    </xf>
    <xf numFmtId="0" fontId="21" fillId="0" borderId="0" xfId="27" applyAlignment="1">
      <alignment horizontal="left"/>
    </xf>
    <xf numFmtId="0" fontId="92" fillId="0" borderId="7" xfId="27" applyFont="1" applyBorder="1" applyAlignment="1">
      <alignment horizontal="left" wrapText="1"/>
    </xf>
    <xf numFmtId="0" fontId="92" fillId="0" borderId="23" xfId="27" applyFont="1" applyBorder="1" applyAlignment="1">
      <alignment horizontal="left" wrapText="1"/>
    </xf>
    <xf numFmtId="0" fontId="92" fillId="0" borderId="16" xfId="27" applyFont="1" applyBorder="1" applyAlignment="1">
      <alignment horizontal="left" wrapText="1"/>
    </xf>
    <xf numFmtId="183" fontId="93" fillId="0" borderId="11" xfId="1" applyNumberFormat="1" applyFont="1" applyFill="1" applyBorder="1" applyAlignment="1">
      <alignment horizontal="center"/>
    </xf>
    <xf numFmtId="167" fontId="94" fillId="0" borderId="12" xfId="1" applyFont="1" applyFill="1" applyBorder="1" applyAlignment="1">
      <alignment horizontal="center"/>
    </xf>
    <xf numFmtId="167" fontId="94" fillId="0" borderId="1" xfId="1" applyFont="1" applyFill="1" applyBorder="1" applyAlignment="1">
      <alignment horizontal="center"/>
    </xf>
    <xf numFmtId="43" fontId="82" fillId="0" borderId="15" xfId="27" applyNumberFormat="1" applyFont="1" applyBorder="1" applyAlignment="1">
      <alignment horizontal="center" vertical="center"/>
    </xf>
    <xf numFmtId="0" fontId="82" fillId="0" borderId="12" xfId="27" applyFont="1" applyBorder="1" applyAlignment="1">
      <alignment horizontal="center" vertical="center"/>
    </xf>
    <xf numFmtId="167" fontId="78" fillId="0" borderId="11" xfId="1" applyFont="1" applyFill="1" applyBorder="1" applyAlignment="1">
      <alignment horizontal="center" vertical="center"/>
    </xf>
    <xf numFmtId="167" fontId="78" fillId="0" borderId="12" xfId="1" applyFont="1" applyFill="1" applyBorder="1" applyAlignment="1">
      <alignment horizontal="center" vertical="center"/>
    </xf>
    <xf numFmtId="0" fontId="82" fillId="0" borderId="13" xfId="27" applyFont="1" applyBorder="1" applyAlignment="1">
      <alignment horizontal="center" vertical="center" wrapText="1"/>
    </xf>
    <xf numFmtId="0" fontId="82" fillId="0" borderId="7" xfId="27" applyFont="1" applyBorder="1" applyAlignment="1">
      <alignment horizontal="center" vertical="center" wrapText="1"/>
    </xf>
    <xf numFmtId="0" fontId="2" fillId="0" borderId="0" xfId="34" applyAlignment="1">
      <alignment horizontal="left" vertical="top" wrapText="1"/>
    </xf>
    <xf numFmtId="0" fontId="96" fillId="0" borderId="0" xfId="38" applyFont="1" applyFill="1" applyAlignment="1">
      <alignment horizontal="center"/>
    </xf>
    <xf numFmtId="0" fontId="97" fillId="0" borderId="1" xfId="38" applyFont="1" applyFill="1" applyBorder="1" applyAlignment="1">
      <alignment horizontal="center" vertical="center" wrapText="1"/>
    </xf>
    <xf numFmtId="0" fontId="97" fillId="0" borderId="9" xfId="38" applyFont="1" applyFill="1" applyBorder="1" applyAlignment="1">
      <alignment horizontal="center" vertical="center" wrapText="1"/>
    </xf>
    <xf numFmtId="0" fontId="97" fillId="0" borderId="9" xfId="38" applyFont="1" applyFill="1" applyBorder="1" applyAlignment="1">
      <alignment vertical="center" wrapText="1"/>
    </xf>
    <xf numFmtId="0" fontId="97" fillId="0" borderId="2" xfId="38" applyFont="1" applyFill="1" applyBorder="1" applyAlignment="1">
      <alignment vertical="center" wrapText="1"/>
    </xf>
  </cellXfs>
  <cellStyles count="43">
    <cellStyle name="Comma" xfId="1" builtinId="3"/>
    <cellStyle name="Comma 10 10 3 2" xfId="33"/>
    <cellStyle name="Comma 13" xfId="39"/>
    <cellStyle name="Comma 2" xfId="2"/>
    <cellStyle name="Comma 3" xfId="29"/>
    <cellStyle name="Comma 3 2" xfId="26"/>
    <cellStyle name="Comma 3 2 10" xfId="35"/>
    <cellStyle name="Comma 34" xfId="32"/>
    <cellStyle name="Comma 4" xfId="23"/>
    <cellStyle name="Comma 5" xfId="11"/>
    <cellStyle name="Comma 5 61" xfId="13"/>
    <cellStyle name="Comma 6 3" xfId="24"/>
    <cellStyle name="Hyperlink" xfId="10" builtinId="8"/>
    <cellStyle name="Hyperlink 2" xfId="3"/>
    <cellStyle name="Normal" xfId="0" builtinId="0"/>
    <cellStyle name="Normal 11 2 2" xfId="17"/>
    <cellStyle name="Normal 112 3" xfId="38"/>
    <cellStyle name="Normal 141" xfId="42"/>
    <cellStyle name="Normal 160" xfId="19"/>
    <cellStyle name="Normal 161 2" xfId="28"/>
    <cellStyle name="Normal 161 2 2" xfId="31"/>
    <cellStyle name="Normal 161 2 2 3" xfId="36"/>
    <cellStyle name="Normal 161 2 4" xfId="34"/>
    <cellStyle name="Normal 165" xfId="15"/>
    <cellStyle name="Normal 2" xfId="4"/>
    <cellStyle name="Normal 2 2" xfId="5"/>
    <cellStyle name="Normal 21" xfId="12"/>
    <cellStyle name="Normal 21 2 2" xfId="20"/>
    <cellStyle name="Normal 21 3 2" xfId="22"/>
    <cellStyle name="Normal 23" xfId="25"/>
    <cellStyle name="Normal 26 2" xfId="21"/>
    <cellStyle name="Normal 3" xfId="6"/>
    <cellStyle name="Normal 3 2" xfId="7"/>
    <cellStyle name="Normal 43 3 3 2 2" xfId="30"/>
    <cellStyle name="Normal 43 3 3 2 2 4" xfId="37"/>
    <cellStyle name="Normal 5" xfId="8"/>
    <cellStyle name="Normal 54" xfId="41"/>
    <cellStyle name="Normal 63" xfId="16"/>
    <cellStyle name="Normal 76" xfId="18"/>
    <cellStyle name="Normal_LOAN Revised SCH VI" xfId="14"/>
    <cellStyle name="Normal_Share Capital 11-12 " xfId="27"/>
    <cellStyle name="Percent" xfId="9" builtinId="5"/>
    <cellStyle name="Percent 13" xfId="40"/>
  </cellStyles>
  <dxfs count="7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5</xdr:col>
      <xdr:colOff>178594</xdr:colOff>
      <xdr:row>67</xdr:row>
      <xdr:rowOff>47625</xdr:rowOff>
    </xdr:from>
    <xdr:to>
      <xdr:col>6</xdr:col>
      <xdr:colOff>158750</xdr:colOff>
      <xdr:row>72</xdr:row>
      <xdr:rowOff>186531</xdr:rowOff>
    </xdr:to>
    <xdr:cxnSp macro="">
      <xdr:nvCxnSpPr>
        <xdr:cNvPr id="2" name="Straight Arrow Connector 1">
          <a:extLst>
            <a:ext uri="{FF2B5EF4-FFF2-40B4-BE49-F238E27FC236}">
              <a16:creationId xmlns:a16="http://schemas.microsoft.com/office/drawing/2014/main" id="{00000000-0008-0000-0B00-000003000000}"/>
            </a:ext>
          </a:extLst>
        </xdr:cNvPr>
        <xdr:cNvCxnSpPr/>
      </xdr:nvCxnSpPr>
      <xdr:spPr>
        <a:xfrm flipH="1">
          <a:off x="8674894" y="9648825"/>
          <a:ext cx="1427956" cy="733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OFFSHORE\USERS\NARESH\FIN\HALFYEAR\CO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nank\d\Finance\ProjAcc\Essar\BH\ESSAR\Exposure\PO-B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0.96.15\Account%20&amp;%20Taxation\Accounts\Gujarat%20Gas%20Consolidated\GGL%202015-16\GGL%2015-6%20Q-3\Consolidated%20Merged%20BS%202015-16-%20Dec%2015%20-%20V2%20with%20BS%20regroupin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ahagencoo365-my.sharepoint.com/Users/00008906/OneDrive%20-%20Maharashtra%20State%20Power%20Generation%20Co.%20Ltd/File%2035%20Capex/05.%20True%20up/2019-20/From%20Stations/07.%20Parli/Last%20Year%20Q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1\wordxl\CAMELLIA\Statutory%20Audits\Audit%202005-06\01%20%20Camellia%20Clothing%20Limited\B.%20%20Tax%20Audit%202005-06\PP_Master%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oonam\c\My%20Documents\MIS%202004-05\PAP\MONTHLY%20FILES%20PHPL\MAR%2005\PAP%20MAR%2005%20BOOK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OneDrive%20-%20Maharashtra%20State%20Power%20Generation%20Co.%20Ltd\Share%20Folder%20CA%20Section\F.Y.%202023-24\Final%20Accounts%202023-24\Final%20Accounts%2020%20th%20sep%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rain\sys\SYSTEM\MSOFFICE\EXCEL\SALED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PGADACCGEMD06\GGL\GGL%20quarters\GGL%20Ind%20AS%20FS%20Template%20%2001%2006%202016-OBS%20format%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nkaj\d\GIPL\Audit%20A.Y.%202007-08\06-09-07\asset12foritde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rain\sys\SYSTEM\MSOFFICE\EXCEL\SALESTK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hagencoo365-my.sharepoint.com/Users/00008906/OneDrive%20-%20Maharashtra%20State%20Power%20Generation%20Co.%20Ltd/File%2035%20Capex/05.%20True%20up/2019-20/From%20Stations/07.%20Parli/01-Balance%20sheet-IGAAP_AdaniEnt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nank\d\Finance\ProjAcc\Essar\BH\ESSAR\CR-SUPLY.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221055%20Sundry%20Debtors%20and%20Unbilled%20Revenue%20Combined%20Leadsheet"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sskrlnas\desktop5$\HGPL%20FIN%20(ESTL%20FORMAT)%20%20-%20MAR%202006%20-%20updated%2027TH%20%20JUNE%2006%20-%20CAPITAL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SR"/>
      <sheetName val="BALANCE_SHEET"/>
      <sheetName val="fcl"/>
      <sheetName val="BALANCE_SHEET1"/>
      <sheetName val="BALANCE_SHEET2"/>
      <sheetName val="BALANCE_SHEET3"/>
      <sheetName val="77S(O)"/>
      <sheetName val="CONBS"/>
      <sheetName val="expired"/>
      <sheetName val="DURGESH"/>
      <sheetName val="04REL"/>
      <sheetName val="01.11.2004"/>
      <sheetName val="TRIALBALANCE"/>
      <sheetName val="BALANCE_SHEET4"/>
      <sheetName val="Risks of material misstatement"/>
      <sheetName val="BALANCE_SHEET5"/>
      <sheetName val="1.Loans Control Chart- Mar 2007"/>
      <sheetName val="BALANCE_SHEET6"/>
      <sheetName val="Scheme"/>
      <sheetName val="Chart-Major customer"/>
      <sheetName val="ROMM Data for Validation"/>
      <sheetName val="Trial Report"/>
      <sheetName val="License Area"/>
      <sheetName val="Validation Details"/>
      <sheetName val="Data from Access"/>
      <sheetName val="Material "/>
      <sheetName val="Labour &amp; Plant"/>
      <sheetName val="summary"/>
      <sheetName val="PTIN03"/>
      <sheetName val="BALANCE_SHEET7"/>
      <sheetName val="Risks_of_material_misstatement"/>
      <sheetName val="1_Loans_Control_Chart-_Mar_2007"/>
      <sheetName val="ROMM_Data_for_Validation"/>
      <sheetName val="Validation_Details"/>
      <sheetName val="Data_from_Access"/>
      <sheetName val="Instructions"/>
      <sheetName val="BS "/>
      <sheetName val="ANUAL PLAN"/>
      <sheetName val="Allahabad Bank"/>
      <sheetName val="Bank of Baroda"/>
      <sheetName val="BOI"/>
      <sheetName val="Canara"/>
      <sheetName val="Indian"/>
      <sheetName val="IDBI"/>
      <sheetName val="IOB"/>
      <sheetName val="PNB"/>
      <sheetName val="Punjab &amp; Sind"/>
      <sheetName val="SBHyderabad"/>
      <sheetName val="SBI"/>
      <sheetName val="SBMysore"/>
      <sheetName val="SBPatiala"/>
      <sheetName val="SBSaurashtra"/>
      <sheetName val="Union Bank"/>
      <sheetName val="Ins Erection"/>
      <sheetName val="plbs"/>
      <sheetName val="FitOutConfCentre"/>
      <sheetName val="Accounts"/>
      <sheetName val="Sheet2"/>
      <sheetName val="Top Sheet"/>
      <sheetName val="2005"/>
      <sheetName val="P&amp;L"/>
      <sheetName val="BALANCE-SHEET"/>
      <sheetName val="sdrs_mar"/>
      <sheetName val="tb, p&amp;l, bs"/>
      <sheetName val="data"/>
      <sheetName val="ACK-NEW"/>
      <sheetName val="x-rate"/>
      <sheetName val="Les Cèdres"/>
      <sheetName val="COMPLEXALL"/>
    </sheetNames>
    <sheetDataSet>
      <sheetData sheetId="0" refreshError="1">
        <row r="1">
          <cell r="B1" t="str">
            <v>ESSAR OIL LIMITED</v>
          </cell>
        </row>
        <row r="58">
          <cell r="M58" t="str">
            <v>:</v>
          </cell>
        </row>
        <row r="59">
          <cell r="M59" t="str">
            <v>:</v>
          </cell>
        </row>
        <row r="60">
          <cell r="M60" t="str">
            <v>:</v>
          </cell>
        </row>
        <row r="61">
          <cell r="M61" t="str">
            <v>:</v>
          </cell>
        </row>
        <row r="62">
          <cell r="M62" t="str">
            <v>:</v>
          </cell>
        </row>
        <row r="63">
          <cell r="M63" t="str">
            <v>:</v>
          </cell>
        </row>
        <row r="64">
          <cell r="M64" t="str">
            <v>:</v>
          </cell>
        </row>
        <row r="65">
          <cell r="M65" t="str">
            <v>:</v>
          </cell>
        </row>
      </sheetData>
      <sheetData sheetId="1" refreshError="1"/>
      <sheetData sheetId="2" refreshError="1"/>
      <sheetData sheetId="3" refreshError="1"/>
      <sheetData sheetId="4" refreshError="1"/>
      <sheetData sheetId="5"/>
      <sheetData sheetId="6">
        <row r="1">
          <cell r="B1" t="str">
            <v>ESSAR OIL LIMITED</v>
          </cell>
        </row>
      </sheetData>
      <sheetData sheetId="7" refreshError="1"/>
      <sheetData sheetId="8" refreshError="1"/>
      <sheetData sheetId="9" refreshError="1"/>
      <sheetData sheetId="10" refreshError="1"/>
      <sheetData sheetId="11" refreshError="1"/>
      <sheetData sheetId="12" refreshError="1"/>
      <sheetData sheetId="13" refreshError="1"/>
      <sheetData sheetId="14">
        <row r="1">
          <cell r="B1" t="str">
            <v>ESSAR OIL LIMITED</v>
          </cell>
        </row>
      </sheetData>
      <sheetData sheetId="15" refreshError="1"/>
      <sheetData sheetId="16">
        <row r="1">
          <cell r="B1" t="str">
            <v>ESSAR OIL LIMITED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
          <cell r="B1" t="str">
            <v>ESSAR OIL LIMITED</v>
          </cell>
        </row>
      </sheetData>
      <sheetData sheetId="31">
        <row r="1">
          <cell r="B1" t="str">
            <v>ESSAR OIL LIMITED</v>
          </cell>
        </row>
      </sheetData>
      <sheetData sheetId="32">
        <row r="1">
          <cell r="B1" t="str">
            <v>ESSAR OIL LIMITED</v>
          </cell>
        </row>
      </sheetData>
      <sheetData sheetId="33">
        <row r="1">
          <cell r="B1" t="str">
            <v>ESSAR OIL LIMITED</v>
          </cell>
        </row>
      </sheetData>
      <sheetData sheetId="34">
        <row r="1">
          <cell r="B1" t="str">
            <v>ESSAR OIL LIMITED</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r-1"/>
      <sheetName val="insur-2 (closed)"/>
      <sheetName val="pa-mtly"/>
      <sheetName val="po log ssb"/>
      <sheetName val="po log ssb incl cc"/>
      <sheetName val="recon"/>
      <sheetName val="data-g"/>
      <sheetName val="graph"/>
      <sheetName val="x-rate"/>
      <sheetName val="Est. Outflows"/>
      <sheetName val="Settlements"/>
      <sheetName val="ON HOLD - PA &amp; 2.7"/>
      <sheetName val="Sheet2"/>
      <sheetName val="Input"/>
      <sheetName val="sum"/>
      <sheetName val="Sheet3 (2)"/>
      <sheetName val="a-4"/>
      <sheetName val="insur-2_(closed)"/>
      <sheetName val="po_log_ssb"/>
      <sheetName val="po_log_ssb_incl_cc"/>
      <sheetName val="Est__Outflows"/>
      <sheetName val="ON_HOLD_-_PA_&amp;_2_7"/>
      <sheetName val="FUEL_&amp;_LOSS"/>
      <sheetName val="insur-2_(closed)1"/>
      <sheetName val="po_log_ssb1"/>
      <sheetName val="po_log_ssb_incl_cc1"/>
      <sheetName val="Est__Outflows1"/>
      <sheetName val="ON_HOLD_-_PA_&amp;_2_71"/>
      <sheetName val="insur-2_(closed)2"/>
      <sheetName val="po_log_ssb2"/>
      <sheetName val="po_log_ssb_incl_cc2"/>
      <sheetName val="Est__Outflows2"/>
      <sheetName val="ON_HOLD_-_PA_&amp;_2_72"/>
      <sheetName val="insur-2_(closed)3"/>
      <sheetName val="po_log_ssb3"/>
      <sheetName val="po_log_ssb_incl_cc3"/>
      <sheetName val="Est__Outflows3"/>
      <sheetName val="ON_HOLD_-_PA_&amp;_2_73"/>
      <sheetName val="Sheet3_(2)"/>
      <sheetName val="Links"/>
      <sheetName val="1612.01AN(7) - Niep Tds Summary"/>
      <sheetName val="diff on tic &amp; po"/>
      <sheetName val="insur-2"/>
      <sheetName val="retention"/>
      <sheetName val="PO-BH"/>
      <sheetName val="77S(O)"/>
      <sheetName val="310480 as on 311207"/>
      <sheetName val="diff_on_tic_&amp;_po"/>
      <sheetName val="diff_on_tic_&amp;_po1"/>
      <sheetName val="diff_on_tic_&amp;_po2"/>
      <sheetName val="insur-2_(closed)4"/>
      <sheetName val="po_log_ssb4"/>
      <sheetName val="po_log_ssb_incl_cc4"/>
      <sheetName val="Est__Outflows4"/>
      <sheetName val="ON_HOLD_-_PA_&amp;_2_74"/>
      <sheetName val="Sheet3_(2)1"/>
      <sheetName val="diff_on_tic_&amp;_po3"/>
      <sheetName val="310480_as_on_311207"/>
      <sheetName val="1612_01AN(7)_-_Niep_Tds_Summary"/>
      <sheetName val="Marh__Prfl_01"/>
      <sheetName val="Params"/>
      <sheetName val="A 3.7"/>
      <sheetName val="FOIL"/>
      <sheetName val="GRIR REF DEC 07"/>
      <sheetName val="diff_on_tic_&amp;_po4"/>
      <sheetName val="310480_as_on_3112071"/>
      <sheetName val="GRIR_REF_DEC_07"/>
      <sheetName val="insur-2_(closed)5"/>
      <sheetName val="diff_on_tic_&amp;_po5"/>
      <sheetName val="po_log_ssb5"/>
      <sheetName val="po_log_ssb_incl_cc5"/>
      <sheetName val="Est__Outflows5"/>
      <sheetName val="310480_as_on_3112072"/>
      <sheetName val="GRIR_REF_DEC_071"/>
      <sheetName val="ON_HOLD_-_PA_&amp;_2_75"/>
      <sheetName val="Sheet3_(2)2"/>
      <sheetName val="1612_01AN(7)_-_Niep_Tds_Summar1"/>
      <sheetName val="Inc.St.-Link"/>
      <sheetName val="cap gains"/>
      <sheetName val="Chiet tinh"/>
      <sheetName val="Anex. A &amp; B"/>
      <sheetName val="Cost assmpts"/>
      <sheetName val="P&amp;L"/>
      <sheetName val="SCH"/>
      <sheetName val="Main Bs Cr"/>
      <sheetName val="Other"/>
      <sheetName val="Schedules"/>
      <sheetName val="SLIDES FOR STATUS REPORT"/>
      <sheetName val="REL"/>
      <sheetName val="Grouping TB"/>
      <sheetName val="2007"/>
      <sheetName val="Working3"/>
      <sheetName val="Working2"/>
      <sheetName val="Variables"/>
      <sheetName val="Tax Details"/>
      <sheetName val="Agency BS"/>
      <sheetName val="Valuation Summary"/>
      <sheetName val="Index"/>
      <sheetName val="Comp"/>
      <sheetName val="P&amp;L-31.3.99"/>
      <sheetName val="FF-2"/>
      <sheetName val="Blue Team 6.4.04"/>
      <sheetName val="Ranges"/>
      <sheetName val="Options with totals"/>
      <sheetName val="Classification"/>
      <sheetName val="FY96 CB Div Pool "/>
      <sheetName val="Reserves &amp; Surplus"/>
      <sheetName val="Other Expenses"/>
      <sheetName val="Labour &amp; Plant"/>
      <sheetName val="Column L1 to L2"/>
      <sheetName val="Column L2 to L3"/>
      <sheetName val="BEAM"/>
      <sheetName val="RAMP 3"/>
      <sheetName val="RAMP 1"/>
      <sheetName val="staircase"/>
      <sheetName val="R_Wall"/>
      <sheetName val="Column B1 to L1"/>
      <sheetName val="Slab L1"/>
      <sheetName val="Slab L2"/>
      <sheetName val="Fill this out first..."/>
      <sheetName val="REVENUES &amp; BS"/>
      <sheetName val="POWER-08"/>
      <sheetName val="A"/>
      <sheetName val="Sheet3"/>
      <sheetName val="Codes"/>
      <sheetName val="CST Reconciliation"/>
      <sheetName val="GrossMgn 98"/>
      <sheetName val="PopCache"/>
      <sheetName val="TAB 1"/>
      <sheetName val="2.Control Sheet"/>
      <sheetName val="Profit Reco"/>
      <sheetName val="Stores"/>
      <sheetName val="AnnexIII"/>
      <sheetName val="Inter unit set off"/>
      <sheetName val="List of Rem Entries PY"/>
      <sheetName val="Lead"/>
      <sheetName val="bs-schedule"/>
      <sheetName val="P2 RM"/>
      <sheetName val="Total"/>
      <sheetName val="costing"/>
      <sheetName val="Performance Report"/>
      <sheetName val="RA-markate"/>
      <sheetName val="Cat A Change Control"/>
      <sheetName val="Operating Statistics"/>
      <sheetName val="Org Chart"/>
    </sheetNames>
    <sheetDataSet>
      <sheetData sheetId="0" refreshError="1"/>
      <sheetData sheetId="1" refreshError="1"/>
      <sheetData sheetId="2" refreshError="1">
        <row r="8">
          <cell r="O8">
            <v>4283797.9441520553</v>
          </cell>
        </row>
        <row r="20">
          <cell r="O20">
            <v>55724.666666666672</v>
          </cell>
        </row>
        <row r="22">
          <cell r="O22">
            <v>30968478.350273855</v>
          </cell>
          <cell r="P22">
            <v>580000</v>
          </cell>
          <cell r="Q22">
            <v>45687500</v>
          </cell>
          <cell r="R22">
            <v>8062500</v>
          </cell>
          <cell r="S22">
            <v>8062500</v>
          </cell>
        </row>
        <row r="24">
          <cell r="O24">
            <v>47654.15475291801</v>
          </cell>
          <cell r="P24">
            <v>255325.5</v>
          </cell>
          <cell r="Q24">
            <v>255325.5</v>
          </cell>
        </row>
        <row r="25">
          <cell r="O25">
            <v>185987.68461901034</v>
          </cell>
          <cell r="P25">
            <v>996500.7</v>
          </cell>
          <cell r="Q25">
            <v>996500.7</v>
          </cell>
        </row>
        <row r="30">
          <cell r="O30">
            <v>207027.00342641326</v>
          </cell>
        </row>
        <row r="31">
          <cell r="O31">
            <v>113295.59</v>
          </cell>
        </row>
        <row r="36">
          <cell r="O36">
            <v>606398</v>
          </cell>
        </row>
        <row r="37">
          <cell r="O37">
            <v>760514.58659418137</v>
          </cell>
        </row>
        <row r="39">
          <cell r="O39">
            <v>272315.09499999997</v>
          </cell>
          <cell r="P39">
            <v>39777.550000000003</v>
          </cell>
          <cell r="S39">
            <v>39777.550000000003</v>
          </cell>
        </row>
        <row r="40">
          <cell r="O40">
            <v>43631.294999999998</v>
          </cell>
          <cell r="P40">
            <v>6775</v>
          </cell>
          <cell r="S40">
            <v>6775</v>
          </cell>
        </row>
        <row r="41">
          <cell r="O41">
            <v>224381.02499999999</v>
          </cell>
          <cell r="P41">
            <v>33447.449999999997</v>
          </cell>
          <cell r="S41">
            <v>33447.449999999997</v>
          </cell>
        </row>
        <row r="42">
          <cell r="O42">
            <v>17326992.046349533</v>
          </cell>
          <cell r="P42">
            <v>1000000</v>
          </cell>
          <cell r="Q42">
            <v>16679515.5</v>
          </cell>
        </row>
        <row r="45">
          <cell r="O45">
            <v>946554.66666666663</v>
          </cell>
        </row>
        <row r="46">
          <cell r="O46">
            <v>272525.33333333331</v>
          </cell>
        </row>
        <row r="47">
          <cell r="O47">
            <v>871766.66666666674</v>
          </cell>
        </row>
        <row r="50">
          <cell r="O50">
            <v>16108.716666666667</v>
          </cell>
        </row>
        <row r="54">
          <cell r="O54">
            <v>369839.5</v>
          </cell>
        </row>
        <row r="63">
          <cell r="O63">
            <v>102326.755</v>
          </cell>
          <cell r="P63">
            <v>204653.51</v>
          </cell>
          <cell r="Q63">
            <v>204653.51</v>
          </cell>
        </row>
        <row r="64">
          <cell r="O64">
            <v>12625.140825</v>
          </cell>
        </row>
        <row r="72">
          <cell r="O72">
            <v>238435.43278607621</v>
          </cell>
        </row>
        <row r="75">
          <cell r="O75">
            <v>1492929.14952615</v>
          </cell>
        </row>
        <row r="76">
          <cell r="O76">
            <v>642797.5757575758</v>
          </cell>
          <cell r="P76">
            <v>881516.7</v>
          </cell>
          <cell r="S76">
            <v>881516.7</v>
          </cell>
        </row>
        <row r="80">
          <cell r="Q80">
            <v>3698581.55</v>
          </cell>
          <cell r="R80">
            <v>335707.78</v>
          </cell>
          <cell r="S80">
            <v>335707.78</v>
          </cell>
        </row>
        <row r="88">
          <cell r="O88">
            <v>8808.3333333333339</v>
          </cell>
        </row>
        <row r="89">
          <cell r="O89">
            <v>8475875.0159157943</v>
          </cell>
          <cell r="P89">
            <v>15000000</v>
          </cell>
          <cell r="Q89">
            <v>35458630</v>
          </cell>
        </row>
        <row r="95">
          <cell r="O95">
            <v>325474.21963690495</v>
          </cell>
        </row>
        <row r="109">
          <cell r="O109" t="str">
            <v>Cancelled</v>
          </cell>
        </row>
        <row r="118">
          <cell r="O118">
            <v>3131174.5243499498</v>
          </cell>
          <cell r="P118">
            <v>114635108</v>
          </cell>
          <cell r="Q118">
            <v>114635108</v>
          </cell>
        </row>
        <row r="119">
          <cell r="O119">
            <v>1714673.5847526488</v>
          </cell>
          <cell r="P119">
            <v>62775738</v>
          </cell>
          <cell r="Q119">
            <v>62775738</v>
          </cell>
        </row>
        <row r="126">
          <cell r="O126">
            <v>1712345.5056905327</v>
          </cell>
          <cell r="P126">
            <v>1779959639.3</v>
          </cell>
          <cell r="Q126">
            <v>1779959639.3</v>
          </cell>
        </row>
        <row r="130">
          <cell r="O130">
            <v>38590.810091525011</v>
          </cell>
        </row>
        <row r="132">
          <cell r="O132">
            <v>18359.732827652879</v>
          </cell>
          <cell r="P132">
            <v>32589.15</v>
          </cell>
          <cell r="S132">
            <v>32589.15</v>
          </cell>
        </row>
        <row r="140">
          <cell r="O140">
            <v>4542.5</v>
          </cell>
        </row>
        <row r="145">
          <cell r="O145">
            <v>721112.94769564981</v>
          </cell>
        </row>
        <row r="148">
          <cell r="O148">
            <v>16764.494999999999</v>
          </cell>
          <cell r="P148">
            <v>33528.99</v>
          </cell>
          <cell r="Q148">
            <v>33528.99</v>
          </cell>
        </row>
        <row r="149">
          <cell r="O149">
            <v>24980.535</v>
          </cell>
          <cell r="P149">
            <v>49961.07</v>
          </cell>
          <cell r="Q149">
            <v>49961.07</v>
          </cell>
        </row>
        <row r="161">
          <cell r="O161">
            <v>2244</v>
          </cell>
        </row>
        <row r="162">
          <cell r="O162">
            <v>981220.83333333337</v>
          </cell>
          <cell r="P162">
            <v>106670</v>
          </cell>
          <cell r="Q162">
            <v>106670</v>
          </cell>
          <cell r="S162">
            <v>373345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15"/>
      <sheetName val="pending points"/>
      <sheetName val="Tax Provision (2)"/>
      <sheetName val="Instruction Sheet"/>
      <sheetName val="Pivot of TB"/>
      <sheetName val="TB CY"/>
      <sheetName val="3.CF (New)"/>
      <sheetName val="Sheet1"/>
      <sheetName val="Sheet2"/>
      <sheetName val="Sheet3"/>
      <sheetName val="Sheet5"/>
      <sheetName val="Tally TB"/>
      <sheetName val="GSPC Gas Dec 15"/>
      <sheetName val="Deleted"/>
      <sheetName val="Ind AS Mapping (2)"/>
      <sheetName val="TB Sheet"/>
      <sheetName val="1. Bal Sheet"/>
      <sheetName val="Tax Provision"/>
      <sheetName val="2. Prof &amp;L"/>
      <sheetName val="Sheet4"/>
      <sheetName val="3.CF "/>
      <sheetName val="Equity"/>
      <sheetName val="5.BS Notes"/>
      <sheetName val="4.1 LTBorrowings1"/>
      <sheetName val="4.2 MTBorrowings2"/>
      <sheetName val="12 FA Sch in Crores"/>
      <sheetName val="6.PL Notes"/>
      <sheetName val="12 FA Sch Jun15"/>
      <sheetName val="12.1 CWIP"/>
      <sheetName val="CF working"/>
      <sheetName val="GSPC Borrowing sch"/>
      <sheetName val="5.2 31.12.15"/>
      <sheetName val="Note 13.1"/>
      <sheetName val="Note 16"/>
      <sheetName val="NOTE 34 QTY"/>
      <sheetName val="Other notes 35 to 40"/>
      <sheetName val="Note 41 EB"/>
      <sheetName val="Note 42 ESOP"/>
      <sheetName val="43 Related Parties"/>
      <sheetName val="Other notes 44 to 49"/>
      <sheetName val="Merger note"/>
      <sheetName val="RMC"/>
      <sheetName val="Data"/>
      <sheetName val="Trial Balance - MARCH 2006"/>
    </sheetNames>
    <sheetDataSet>
      <sheetData sheetId="0"/>
      <sheetData sheetId="1"/>
      <sheetData sheetId="2"/>
      <sheetData sheetId="3">
        <row r="33">
          <cell r="D33">
            <v>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 Wise Dec"/>
      <sheetName val="Plant Wise Nov"/>
      <sheetName val="Plant Wise oct"/>
      <sheetName val="Plant Wise sep"/>
      <sheetName val="Plant Wise aug"/>
      <sheetName val="Plant Wise jul"/>
      <sheetName val="CCR chpd"/>
      <sheetName val="CCR"/>
      <sheetName val="CCR pip"/>
      <sheetName val="ACP"/>
      <sheetName val="Refinery"/>
      <sheetName val="Prod &amp; sales"/>
      <sheetName val="Last Year QD"/>
      <sheetName val="#REF"/>
      <sheetName val="REFNCOMPARE"/>
      <sheetName val="Details"/>
      <sheetName val="Variables"/>
      <sheetName val="Schedules PL"/>
      <sheetName val="Schedules BS"/>
      <sheetName val="BS"/>
      <sheetName val="Interest 30-11-01 not PA 7%"/>
      <sheetName val="x-rate"/>
      <sheetName val="TRIAL BALANCE"/>
      <sheetName val="PROC "/>
      <sheetName val="Share Performance"/>
      <sheetName val="1612.01AN(7) - Niep Tds Summary"/>
      <sheetName val="HBI NCD"/>
      <sheetName val="CONTANGO"/>
      <sheetName val="margin."/>
      <sheetName val="lot no 86"/>
      <sheetName val="proposallinked"/>
      <sheetName val="04REL"/>
      <sheetName val="Financials"/>
      <sheetName val="capg"/>
      <sheetName val="TBAL9697 -group wise  sdpl"/>
      <sheetName val="TB9899"/>
      <sheetName val="INDEPENDENT"/>
      <sheetName val="Fed'l Taxable Inc"/>
      <sheetName val="Customize Your Purchase Order"/>
      <sheetName val="SEL_Assumptions"/>
      <sheetName val="Output"/>
      <sheetName val="UNP-NCW "/>
      <sheetName val="Recon-Coal"/>
      <sheetName val="Master Sheet - ODC 2002-03"/>
      <sheetName val="Liabilities"/>
      <sheetName val="Input"/>
      <sheetName val="Financial Information"/>
      <sheetName val="PPE &amp; IA - CY"/>
      <sheetName val="COLUMN-CR"/>
      <sheetName val="4.Grouping - Balance Sheet(mio)"/>
      <sheetName val="Clause 9"/>
      <sheetName val="MAINBS1"/>
      <sheetName val="SEL_FS-A"/>
      <sheetName val="REPL_FS-A"/>
      <sheetName val="REPL_Workings"/>
      <sheetName val="Timesheet"/>
      <sheetName val="CAS P"/>
      <sheetName val="Sheet1"/>
      <sheetName val="B'Sheet"/>
      <sheetName val="Asmp"/>
      <sheetName val="Key assumptions"/>
      <sheetName val="Bank Charges"/>
      <sheetName val="Labour"/>
      <sheetName val="Mfg &amp; Admin Exps"/>
      <sheetName val="Salary"/>
      <sheetName val="Groupings to Sch"/>
      <sheetName val="A"/>
      <sheetName val="Main Equ. List"/>
      <sheetName val="INDIVID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DR"/>
      <sheetName val="DR-Anx"/>
      <sheetName val="AR"/>
      <sheetName val="CARO"/>
      <sheetName val="CAROApp"/>
      <sheetName val="BS"/>
      <sheetName val="PL"/>
      <sheetName val="FundFlow"/>
      <sheetName val="Instructions"/>
      <sheetName val="BSSch"/>
      <sheetName val="FASch"/>
      <sheetName val="PLSch"/>
      <sheetName val="Notes"/>
      <sheetName val="PartIV"/>
      <sheetName val="GR-BS"/>
      <sheetName val="GR-PL"/>
      <sheetName val="AS22"/>
      <sheetName val="115JB"/>
      <sheetName val="115JB-Anx"/>
      <sheetName val="3CA"/>
      <sheetName val="3CA-Anx"/>
      <sheetName val="3CD"/>
      <sheetName val="145A-Exclusive"/>
      <sheetName val="145-Incusive"/>
      <sheetName val="3CD-145A-Anx"/>
      <sheetName val="3CD-Dep-Anx"/>
      <sheetName val="3CD-40A(3)-Anx"/>
      <sheetName val="3CD-40A(2)(b)-Anx"/>
      <sheetName val="3CD-269SS-T-Anx"/>
      <sheetName val="3CD-CFLoss-Anx"/>
      <sheetName val="3CD-Ratios-Anx "/>
      <sheetName val="Names"/>
      <sheetName val="IT"/>
      <sheetName val="Masters"/>
      <sheetName val="Details"/>
      <sheetName val="REFNCOMPARE"/>
      <sheetName val="Ref"/>
      <sheetName val="Operating and Capital Scenarios"/>
      <sheetName val="deferred taxes"/>
      <sheetName val="AV"/>
      <sheetName val="Storage"/>
      <sheetName val="RelR"/>
      <sheetName val="Sheet2"/>
      <sheetName val="Allahabad Bank"/>
      <sheetName val="Bank of Baroda"/>
      <sheetName val="BOI"/>
      <sheetName val="Canara"/>
      <sheetName val="Indian"/>
      <sheetName val="IDBI"/>
      <sheetName val="IOB"/>
      <sheetName val="PNB"/>
      <sheetName val="Punjab &amp; Sind"/>
      <sheetName val="SBHyderabad"/>
      <sheetName val="SBI"/>
      <sheetName val="SBMysore"/>
      <sheetName val="SBPatiala"/>
      <sheetName val="SBSaurashtra"/>
      <sheetName val="Union Bank"/>
      <sheetName val="3CD-Ratios-Anx_1"/>
      <sheetName val="Operating_and_Capital_Scenario1"/>
      <sheetName val="deferred_taxes1"/>
      <sheetName val="3CD-Ratios-Anx_"/>
      <sheetName val="Operating_and_Capital_Scenarios"/>
      <sheetName val="deferred_taxes"/>
      <sheetName val="Admin"/>
      <sheetName val="CRUDE UPDATE"/>
      <sheetName val="Input"/>
      <sheetName val="Valuation"/>
      <sheetName val="IRR"/>
      <sheetName val="Assumptions"/>
      <sheetName val="Q4FY02"/>
      <sheetName val="b"/>
      <sheetName val="EXCH"/>
      <sheetName val="Sheet1"/>
      <sheetName val="old_serial no."/>
      <sheetName val="tot_ass_9697"/>
      <sheetName val="B S-31-3-2006"/>
      <sheetName val="Data"/>
      <sheetName val="Elect."/>
      <sheetName val="Revenue-Invoicewise"/>
      <sheetName val="a-4"/>
      <sheetName val="Input Sheet"/>
      <sheetName val="FAR co Tangible"/>
      <sheetName val="Sheet3"/>
      <sheetName val="SALE&amp;COST"/>
      <sheetName val="Allocate"/>
      <sheetName val="Variables"/>
      <sheetName val="TB Mar 09"/>
      <sheetName val="«"/>
      <sheetName val="»"/>
      <sheetName val="Assets"/>
      <sheetName val="Cash Flow"/>
      <sheetName val="Profit&amp;Loss"/>
      <sheetName val="Debt"/>
      <sheetName val="Balance Sheet Grouping"/>
      <sheetName val="Settings"/>
      <sheetName val="Inv - Revenue registry for PoC"/>
      <sheetName val="AFFI内訳"/>
      <sheetName val="PP_Master Template"/>
      <sheetName val="15"/>
      <sheetName val="NN"/>
      <sheetName val="API"/>
      <sheetName val="NCE"/>
      <sheetName val="EU"/>
      <sheetName val="Latam"/>
      <sheetName val="ROW"/>
      <sheetName val="Inputs"/>
      <sheetName val="Database"/>
      <sheetName val="F&amp;B"/>
      <sheetName val="#REF"/>
      <sheetName val="Maint"/>
      <sheetName val="Kitchen"/>
      <sheetName val="Housek"/>
      <sheetName val="GuestProfile"/>
      <sheetName val="CG_OS"/>
      <sheetName val="CMA_Calculations"/>
      <sheetName val="os gl ac"/>
      <sheetName val="Ratio"/>
      <sheetName val="P&amp;L"/>
      <sheetName val="Master Sheet"/>
      <sheetName val="Approved MTD Proj #'s"/>
      <sheetName val="Links"/>
      <sheetName val="Basement Budget"/>
      <sheetName val="WORKRES"/>
      <sheetName val="Invoice"/>
      <sheetName val="Position Class"/>
      <sheetName val="party name"/>
      <sheetName val="Details BS"/>
      <sheetName val="CRUDE"/>
      <sheetName val="Cash and Bank - Schedule 7"/>
      <sheetName val="VIKAR"/>
      <sheetName val="P&amp;L, BS, CF, DCF"/>
      <sheetName val="new_main_20K"/>
      <sheetName val="Title"/>
      <sheetName val="Group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3">
          <cell r="C3" t="str">
            <v>Portalplayer (India) Private Limited</v>
          </cell>
        </row>
        <row r="20">
          <cell r="C20" t="str">
            <v>P.R. Ramesh</v>
          </cell>
        </row>
        <row r="43">
          <cell r="C43" t="str">
            <v>Hyderabad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pretation"/>
      <sheetName val="Sheet1"/>
      <sheetName val="variance"/>
      <sheetName val="PAP VALUE"/>
      <sheetName val="Summary P&amp;L"/>
      <sheetName val="Variance Analysis"/>
      <sheetName val="BOM"/>
      <sheetName val="SCH1"/>
      <sheetName val="sch2"/>
      <sheetName val="sch3"/>
      <sheetName val="Stock Mov"/>
      <sheetName val="Monthwise"/>
      <sheetName val="RECO"/>
      <sheetName val="TB WORK-PAP"/>
      <sheetName val="FINALBS"/>
      <sheetName val="TRIALBALANCE"/>
      <sheetName val="CIF ROCK"/>
      <sheetName val="ABSTRACT"/>
      <sheetName val="Production basis"/>
      <sheetName val="fi"/>
      <sheetName val="MASTER"/>
      <sheetName val="PHPL valuation "/>
      <sheetName val="FORWARD PREMIUM"/>
      <sheetName val="Forex fluctuation"/>
      <sheetName val="LC Interest provision"/>
      <sheetName val="Interest"/>
      <sheetName val="Debt"/>
      <sheetName val="Quantity"/>
      <sheetName val="ManPower"/>
      <sheetName val="Expenses"/>
      <sheetName val="PL"/>
      <sheetName val="BS"/>
      <sheetName val="WC"/>
      <sheetName val="Capex "/>
      <sheetName val="OUTSIDE ENTRY"/>
      <sheetName val="Reconci"/>
      <sheetName val="Ref"/>
      <sheetName val="Lead"/>
      <sheetName val="Cons"/>
      <sheetName val="SCH"/>
      <sheetName val="Input"/>
      <sheetName val="Investment"/>
      <sheetName val="a-4"/>
      <sheetName val="Masters"/>
      <sheetName val="deb"/>
      <sheetName val="Data"/>
      <sheetName val="wwww"/>
      <sheetName val="contentious issues"/>
      <sheetName val="Stores"/>
      <sheetName val="Inter unit set off"/>
      <sheetName val="p &amp;l stpwise"/>
      <sheetName val="Notes to BS (Assets)"/>
      <sheetName val="XREF"/>
      <sheetName val="Breakup Value Working"/>
      <sheetName val="Cash Flow Statement"/>
      <sheetName val="Financial Information"/>
      <sheetName val="Back_Cal_for OMC"/>
      <sheetName val="NOC"/>
      <sheetName val="tdint"/>
      <sheetName val="Cash flow details"/>
      <sheetName val="TOTAL OFERTAS AGUAS euros"/>
      <sheetName val="syndicate codes"/>
      <sheetName val="User Input Sheet"/>
      <sheetName val="Taxes"/>
      <sheetName val="ANNEXURE -15."/>
      <sheetName val="Controls"/>
      <sheetName val="EBITDA"/>
      <sheetName val="Interface"/>
      <sheetName val="WACC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12501</v>
          </cell>
          <cell r="B5" t="str">
            <v>PROFIT &amp; LOSS A\C</v>
          </cell>
          <cell r="G5">
            <v>302664260.25</v>
          </cell>
        </row>
        <row r="6">
          <cell r="A6">
            <v>12571</v>
          </cell>
          <cell r="B6" t="str">
            <v>GENERAL RESERVE</v>
          </cell>
          <cell r="H6">
            <v>302664260.25</v>
          </cell>
        </row>
        <row r="7">
          <cell r="A7">
            <v>13101</v>
          </cell>
          <cell r="B7" t="str">
            <v>CORPORATE OFFICE</v>
          </cell>
          <cell r="E7">
            <v>2209176</v>
          </cell>
          <cell r="F7">
            <v>3788982</v>
          </cell>
        </row>
        <row r="8">
          <cell r="A8">
            <v>13111</v>
          </cell>
          <cell r="B8" t="str">
            <v>COPP.SMELTER - TTN</v>
          </cell>
          <cell r="C8">
            <v>258681246.05000001</v>
          </cell>
          <cell r="D8">
            <v>67869546.519999996</v>
          </cell>
          <cell r="E8">
            <v>2649437629.0799999</v>
          </cell>
          <cell r="F8">
            <v>2475435829.77</v>
          </cell>
          <cell r="H8">
            <v>1270744833.3599999</v>
          </cell>
        </row>
        <row r="9">
          <cell r="A9">
            <v>13115</v>
          </cell>
          <cell r="B9" t="str">
            <v>SMELTER CPP-TTN</v>
          </cell>
          <cell r="C9">
            <v>1366046.07</v>
          </cell>
          <cell r="D9">
            <v>32377335.899999999</v>
          </cell>
          <cell r="E9">
            <v>6870315.1699999999</v>
          </cell>
          <cell r="F9">
            <v>293052060.20999998</v>
          </cell>
          <cell r="H9">
            <v>215166551.97999999</v>
          </cell>
        </row>
        <row r="10">
          <cell r="A10">
            <v>16717</v>
          </cell>
          <cell r="B10" t="str">
            <v>CLG.ICICI-601 A/C</v>
          </cell>
          <cell r="E10">
            <v>56737</v>
          </cell>
          <cell r="F10">
            <v>56737</v>
          </cell>
        </row>
        <row r="11">
          <cell r="A11">
            <v>18101</v>
          </cell>
          <cell r="B11" t="str">
            <v>TNGST -DFFR.SML</v>
          </cell>
          <cell r="C11">
            <v>2289115</v>
          </cell>
          <cell r="D11">
            <v>8789746</v>
          </cell>
          <cell r="E11">
            <v>47922739.289999999</v>
          </cell>
          <cell r="F11">
            <v>116681803.29000001</v>
          </cell>
          <cell r="H11">
            <v>215984858</v>
          </cell>
        </row>
        <row r="12">
          <cell r="A12">
            <v>18102</v>
          </cell>
          <cell r="B12" t="str">
            <v>CST DFFR-SMT</v>
          </cell>
          <cell r="C12">
            <v>1992309</v>
          </cell>
          <cell r="D12">
            <v>8355362</v>
          </cell>
          <cell r="E12">
            <v>25105844.579999998</v>
          </cell>
          <cell r="F12">
            <v>61748911.579999998</v>
          </cell>
          <cell r="H12">
            <v>196889223</v>
          </cell>
        </row>
        <row r="13">
          <cell r="A13">
            <v>21101</v>
          </cell>
          <cell r="B13" t="str">
            <v>ACCEPTANCE-USANCE L.</v>
          </cell>
          <cell r="D13">
            <v>474560371.14999998</v>
          </cell>
          <cell r="F13">
            <v>474560371.14999998</v>
          </cell>
          <cell r="H13">
            <v>474560371.14999998</v>
          </cell>
        </row>
        <row r="14">
          <cell r="A14">
            <v>21201</v>
          </cell>
          <cell r="B14" t="str">
            <v>S. CREDITORS-RAW MAT</v>
          </cell>
          <cell r="C14">
            <v>519279683.49000001</v>
          </cell>
          <cell r="D14">
            <v>206000424.44999999</v>
          </cell>
          <cell r="E14">
            <v>3007658060.8499999</v>
          </cell>
          <cell r="F14">
            <v>2441202969.8600001</v>
          </cell>
          <cell r="H14">
            <v>66349867.850000001</v>
          </cell>
        </row>
        <row r="15">
          <cell r="A15">
            <v>21202</v>
          </cell>
          <cell r="B15" t="str">
            <v>S. CREDITORS-SPARES</v>
          </cell>
          <cell r="C15">
            <v>26400701.920000002</v>
          </cell>
          <cell r="D15">
            <v>27008338.789999999</v>
          </cell>
          <cell r="E15">
            <v>473192423.38999999</v>
          </cell>
          <cell r="F15">
            <v>473477454.69</v>
          </cell>
          <cell r="H15">
            <v>8733275.1999999993</v>
          </cell>
        </row>
        <row r="16">
          <cell r="A16">
            <v>21203</v>
          </cell>
          <cell r="B16" t="str">
            <v>S. CREDITORS-EXP</v>
          </cell>
          <cell r="C16">
            <v>30573665.809999999</v>
          </cell>
          <cell r="D16">
            <v>30955787.809999999</v>
          </cell>
          <cell r="E16">
            <v>333961461.31</v>
          </cell>
          <cell r="F16">
            <v>333970403.31</v>
          </cell>
          <cell r="H16">
            <v>4232506</v>
          </cell>
        </row>
        <row r="17">
          <cell r="A17">
            <v>21204</v>
          </cell>
          <cell r="B17" t="str">
            <v>S. CREDITORS-EMP</v>
          </cell>
          <cell r="F17">
            <v>6540</v>
          </cell>
        </row>
        <row r="18">
          <cell r="A18">
            <v>21205</v>
          </cell>
          <cell r="B18" t="str">
            <v>S. CREDITORS-I.U</v>
          </cell>
          <cell r="D18">
            <v>238790590</v>
          </cell>
          <cell r="F18">
            <v>307785190</v>
          </cell>
          <cell r="H18">
            <v>307785190</v>
          </cell>
        </row>
        <row r="19">
          <cell r="A19">
            <v>21211</v>
          </cell>
          <cell r="B19" t="str">
            <v>S. CREDITORS-PROJ</v>
          </cell>
          <cell r="C19">
            <v>1834122</v>
          </cell>
          <cell r="D19">
            <v>165000</v>
          </cell>
          <cell r="E19">
            <v>17533262.469999999</v>
          </cell>
          <cell r="F19">
            <v>17172815</v>
          </cell>
          <cell r="G19">
            <v>382040.47</v>
          </cell>
        </row>
        <row r="20">
          <cell r="A20">
            <v>21213</v>
          </cell>
          <cell r="B20" t="str">
            <v>GRIR CLRNG-R.M. A/C</v>
          </cell>
          <cell r="C20">
            <v>254637814.66999999</v>
          </cell>
          <cell r="D20">
            <v>254637814.66999999</v>
          </cell>
          <cell r="E20">
            <v>1773520106.77</v>
          </cell>
          <cell r="F20">
            <v>1772883707.9100001</v>
          </cell>
        </row>
        <row r="21">
          <cell r="A21">
            <v>21214</v>
          </cell>
          <cell r="B21" t="str">
            <v>GRIR CLEARING A/C-SS</v>
          </cell>
          <cell r="C21">
            <v>10246434.550000001</v>
          </cell>
          <cell r="D21">
            <v>3495586.14</v>
          </cell>
          <cell r="E21">
            <v>74599847.930000007</v>
          </cell>
          <cell r="F21">
            <v>74733591.189999998</v>
          </cell>
          <cell r="H21">
            <v>167740.39000000001</v>
          </cell>
        </row>
        <row r="22">
          <cell r="A22">
            <v>21215</v>
          </cell>
          <cell r="B22" t="str">
            <v>FREIGHT CLEARING A/C</v>
          </cell>
          <cell r="C22">
            <v>523509.62</v>
          </cell>
          <cell r="D22">
            <v>204880.45</v>
          </cell>
          <cell r="E22">
            <v>2979146.76</v>
          </cell>
          <cell r="F22">
            <v>2511661.61</v>
          </cell>
          <cell r="H22">
            <v>15022.25</v>
          </cell>
        </row>
        <row r="23">
          <cell r="A23">
            <v>21216</v>
          </cell>
          <cell r="B23" t="str">
            <v>CUSTOM CLEARING A/C</v>
          </cell>
          <cell r="C23">
            <v>8691113.3699999992</v>
          </cell>
          <cell r="D23">
            <v>8637965.1600000001</v>
          </cell>
          <cell r="E23">
            <v>72608470.719999999</v>
          </cell>
          <cell r="F23">
            <v>72598525.120000005</v>
          </cell>
          <cell r="H23">
            <v>20011.099999999999</v>
          </cell>
        </row>
        <row r="24">
          <cell r="A24">
            <v>21217</v>
          </cell>
          <cell r="B24" t="str">
            <v>MODVAT CLEARING A/C</v>
          </cell>
          <cell r="C24">
            <v>3851895.75</v>
          </cell>
          <cell r="D24">
            <v>3116164.32</v>
          </cell>
          <cell r="E24">
            <v>45116565.229999997</v>
          </cell>
          <cell r="F24">
            <v>44691050.43</v>
          </cell>
          <cell r="H24">
            <v>291824</v>
          </cell>
        </row>
        <row r="25">
          <cell r="A25">
            <v>21220</v>
          </cell>
          <cell r="B25" t="str">
            <v>PORT WH&amp;MISC CLG A/C</v>
          </cell>
          <cell r="C25">
            <v>28681863.800000001</v>
          </cell>
          <cell r="D25">
            <v>32174337.289999999</v>
          </cell>
          <cell r="E25">
            <v>283930130.66000003</v>
          </cell>
          <cell r="F25">
            <v>289798507.76999998</v>
          </cell>
          <cell r="H25">
            <v>5985589.4299999997</v>
          </cell>
        </row>
        <row r="26">
          <cell r="A26">
            <v>21221</v>
          </cell>
          <cell r="B26" t="str">
            <v>RET.MONEY</v>
          </cell>
          <cell r="C26">
            <v>3089975.46</v>
          </cell>
          <cell r="D26">
            <v>2651263.46</v>
          </cell>
          <cell r="E26">
            <v>18670744.809999999</v>
          </cell>
          <cell r="F26">
            <v>51748048.560000002</v>
          </cell>
          <cell r="H26">
            <v>35061487.75</v>
          </cell>
        </row>
        <row r="27">
          <cell r="A27">
            <v>21222</v>
          </cell>
          <cell r="B27" t="str">
            <v>RET. MONEY-PROJECT</v>
          </cell>
          <cell r="D27">
            <v>200000</v>
          </cell>
          <cell r="E27">
            <v>38950</v>
          </cell>
          <cell r="F27">
            <v>1958950</v>
          </cell>
          <cell r="H27">
            <v>1920000</v>
          </cell>
        </row>
        <row r="28">
          <cell r="A28">
            <v>21226</v>
          </cell>
          <cell r="B28" t="str">
            <v>L. D.-PROJ-UNSETTLED</v>
          </cell>
          <cell r="D28">
            <v>488128</v>
          </cell>
          <cell r="F28">
            <v>2167426</v>
          </cell>
          <cell r="H28">
            <v>2187736</v>
          </cell>
        </row>
        <row r="29">
          <cell r="A29">
            <v>21232</v>
          </cell>
          <cell r="B29" t="str">
            <v>GRIR CLRNG-EXP.A/C</v>
          </cell>
          <cell r="C29">
            <v>28055912.91</v>
          </cell>
          <cell r="D29">
            <v>21915977.890000001</v>
          </cell>
          <cell r="E29">
            <v>401165044.19</v>
          </cell>
          <cell r="F29">
            <v>402352186.13</v>
          </cell>
          <cell r="H29">
            <v>3761259.17</v>
          </cell>
        </row>
        <row r="30">
          <cell r="A30">
            <v>21239</v>
          </cell>
          <cell r="B30" t="str">
            <v>SERV TAX CLEARING AC</v>
          </cell>
          <cell r="C30">
            <v>983332.3</v>
          </cell>
          <cell r="D30">
            <v>924573.7</v>
          </cell>
          <cell r="E30">
            <v>2910642.35</v>
          </cell>
          <cell r="F30">
            <v>2540650.58</v>
          </cell>
          <cell r="G30">
            <v>369991.77</v>
          </cell>
        </row>
        <row r="31">
          <cell r="A31">
            <v>21306</v>
          </cell>
          <cell r="B31" t="str">
            <v>MATL RECD ON LOAN</v>
          </cell>
          <cell r="E31">
            <v>42366570.869999997</v>
          </cell>
          <cell r="F31">
            <v>42204756.789999999</v>
          </cell>
        </row>
        <row r="32">
          <cell r="A32">
            <v>21327</v>
          </cell>
          <cell r="B32" t="str">
            <v>BK GTEE RECD SPGL VD</v>
          </cell>
          <cell r="D32">
            <v>460355</v>
          </cell>
          <cell r="E32">
            <v>3566525</v>
          </cell>
          <cell r="F32">
            <v>28269618</v>
          </cell>
          <cell r="H32">
            <v>31783294</v>
          </cell>
        </row>
        <row r="33">
          <cell r="A33">
            <v>21328</v>
          </cell>
          <cell r="B33" t="str">
            <v>BK GTEE RECD CLR-VND</v>
          </cell>
          <cell r="C33">
            <v>460355</v>
          </cell>
          <cell r="E33">
            <v>28169618</v>
          </cell>
          <cell r="F33">
            <v>3466525</v>
          </cell>
          <cell r="G33">
            <v>31783294</v>
          </cell>
        </row>
        <row r="34">
          <cell r="A34">
            <v>21401</v>
          </cell>
          <cell r="B34" t="str">
            <v>TDS PBL - SALARY</v>
          </cell>
          <cell r="D34">
            <v>5363</v>
          </cell>
          <cell r="E34">
            <v>199717</v>
          </cell>
          <cell r="F34">
            <v>205080</v>
          </cell>
          <cell r="H34">
            <v>5363</v>
          </cell>
        </row>
        <row r="35">
          <cell r="A35">
            <v>21404</v>
          </cell>
          <cell r="B35" t="str">
            <v>TDS PBL-CONTRACTR</v>
          </cell>
          <cell r="C35">
            <v>841068</v>
          </cell>
          <cell r="D35">
            <v>580135</v>
          </cell>
          <cell r="E35">
            <v>4349072</v>
          </cell>
          <cell r="F35">
            <v>4342348</v>
          </cell>
        </row>
        <row r="36">
          <cell r="A36">
            <v>21405</v>
          </cell>
          <cell r="B36" t="str">
            <v>TDS PBL - RENT</v>
          </cell>
          <cell r="E36">
            <v>91012</v>
          </cell>
          <cell r="F36">
            <v>91012</v>
          </cell>
        </row>
        <row r="37">
          <cell r="A37">
            <v>21406</v>
          </cell>
          <cell r="B37" t="str">
            <v>TDS PBL-TEC&amp;PROF FEE</v>
          </cell>
          <cell r="C37">
            <v>13236</v>
          </cell>
          <cell r="D37">
            <v>10226</v>
          </cell>
          <cell r="E37">
            <v>631622</v>
          </cell>
          <cell r="F37">
            <v>631622</v>
          </cell>
        </row>
        <row r="38">
          <cell r="A38">
            <v>21407</v>
          </cell>
          <cell r="B38" t="str">
            <v>TDS PAYABLE - W.C.T.</v>
          </cell>
          <cell r="C38">
            <v>1041</v>
          </cell>
          <cell r="D38">
            <v>1597</v>
          </cell>
          <cell r="E38">
            <v>25010</v>
          </cell>
          <cell r="F38">
            <v>26607</v>
          </cell>
          <cell r="H38">
            <v>3739</v>
          </cell>
        </row>
        <row r="39">
          <cell r="A39">
            <v>21410</v>
          </cell>
          <cell r="B39" t="str">
            <v>TDS PBL-BROK &amp; COMM.</v>
          </cell>
          <cell r="E39">
            <v>158</v>
          </cell>
          <cell r="F39">
            <v>158</v>
          </cell>
        </row>
        <row r="40">
          <cell r="A40">
            <v>21412</v>
          </cell>
          <cell r="B40" t="str">
            <v>LST PBL-TAMILNADU</v>
          </cell>
          <cell r="C40">
            <v>9492033.1199999992</v>
          </cell>
          <cell r="D40">
            <v>9462358.3699999992</v>
          </cell>
          <cell r="E40">
            <v>133930083.14</v>
          </cell>
          <cell r="F40">
            <v>133917260.23999999</v>
          </cell>
          <cell r="G40">
            <v>1349.78</v>
          </cell>
        </row>
        <row r="41">
          <cell r="A41">
            <v>21437</v>
          </cell>
          <cell r="B41" t="str">
            <v>CST PBL-TAMILNADU</v>
          </cell>
          <cell r="C41">
            <v>6929813.5099999998</v>
          </cell>
          <cell r="D41">
            <v>5645793.9400000004</v>
          </cell>
          <cell r="E41">
            <v>70263016.569999993</v>
          </cell>
          <cell r="F41">
            <v>70189048.719999999</v>
          </cell>
          <cell r="G41">
            <v>73459.91</v>
          </cell>
        </row>
        <row r="42">
          <cell r="A42">
            <v>21454</v>
          </cell>
          <cell r="B42" t="str">
            <v>SURCHARGE ON LST-TN</v>
          </cell>
          <cell r="C42">
            <v>193221</v>
          </cell>
          <cell r="D42">
            <v>111069.62</v>
          </cell>
          <cell r="E42">
            <v>3317550.58</v>
          </cell>
          <cell r="F42">
            <v>3316925.08</v>
          </cell>
          <cell r="G42">
            <v>17427.5</v>
          </cell>
        </row>
        <row r="43">
          <cell r="A43">
            <v>21461</v>
          </cell>
          <cell r="B43" t="str">
            <v>PF PBL</v>
          </cell>
          <cell r="D43">
            <v>552</v>
          </cell>
          <cell r="E43">
            <v>22032</v>
          </cell>
          <cell r="F43">
            <v>22584</v>
          </cell>
          <cell r="H43">
            <v>552</v>
          </cell>
        </row>
        <row r="44">
          <cell r="A44">
            <v>21483</v>
          </cell>
          <cell r="B44" t="str">
            <v>EXCISE DUTY PAYABLE</v>
          </cell>
          <cell r="C44">
            <v>2528021</v>
          </cell>
          <cell r="D44">
            <v>2528021</v>
          </cell>
          <cell r="E44">
            <v>31915980.640000001</v>
          </cell>
          <cell r="F44">
            <v>31915980.640000001</v>
          </cell>
        </row>
        <row r="45">
          <cell r="A45">
            <v>21491</v>
          </cell>
          <cell r="B45" t="str">
            <v>TCS PBL-SCRAP SALES</v>
          </cell>
          <cell r="E45">
            <v>1896.09</v>
          </cell>
          <cell r="F45">
            <v>1896.09</v>
          </cell>
        </row>
        <row r="46">
          <cell r="A46">
            <v>21601</v>
          </cell>
          <cell r="B46" t="str">
            <v>SEC DEP-CUST-FG</v>
          </cell>
          <cell r="F46">
            <v>20000</v>
          </cell>
          <cell r="G46">
            <v>80000</v>
          </cell>
        </row>
        <row r="47">
          <cell r="A47">
            <v>21603</v>
          </cell>
          <cell r="B47" t="str">
            <v>SEC DEP- SUPPLIERS</v>
          </cell>
          <cell r="C47">
            <v>457874</v>
          </cell>
          <cell r="D47">
            <v>200000</v>
          </cell>
          <cell r="E47">
            <v>1482874</v>
          </cell>
          <cell r="F47">
            <v>2152874</v>
          </cell>
          <cell r="H47">
            <v>1425000</v>
          </cell>
        </row>
        <row r="48">
          <cell r="A48">
            <v>21606</v>
          </cell>
          <cell r="B48" t="str">
            <v>CESS PAYABLE</v>
          </cell>
          <cell r="C48">
            <v>50645.33</v>
          </cell>
          <cell r="D48">
            <v>50645.33</v>
          </cell>
          <cell r="E48">
            <v>483547.93</v>
          </cell>
          <cell r="F48">
            <v>483547.93</v>
          </cell>
        </row>
        <row r="49">
          <cell r="A49">
            <v>21704</v>
          </cell>
          <cell r="B49" t="str">
            <v>FREIGHT PBL</v>
          </cell>
          <cell r="C49">
            <v>12656616.380000001</v>
          </cell>
          <cell r="D49">
            <v>15353641.140000001</v>
          </cell>
          <cell r="E49">
            <v>124542260</v>
          </cell>
          <cell r="F49">
            <v>129867529.06999999</v>
          </cell>
          <cell r="H49">
            <v>8801386.7400000002</v>
          </cell>
        </row>
        <row r="50">
          <cell r="A50">
            <v>21707</v>
          </cell>
          <cell r="B50" t="str">
            <v>SUND PARTY UNCLAM BA</v>
          </cell>
          <cell r="E50">
            <v>13557.02</v>
          </cell>
          <cell r="F50">
            <v>48843.13</v>
          </cell>
          <cell r="H50">
            <v>35286.11</v>
          </cell>
        </row>
        <row r="51">
          <cell r="A51">
            <v>21709</v>
          </cell>
          <cell r="B51" t="str">
            <v>OUTSTANDING LIAB.</v>
          </cell>
          <cell r="C51">
            <v>17850429.149999999</v>
          </cell>
          <cell r="D51">
            <v>23915131.280000001</v>
          </cell>
          <cell r="E51">
            <v>289804165.93000001</v>
          </cell>
          <cell r="F51">
            <v>292896808.20999998</v>
          </cell>
          <cell r="H51">
            <v>5900552.2800000003</v>
          </cell>
        </row>
        <row r="52">
          <cell r="A52">
            <v>21761</v>
          </cell>
          <cell r="B52" t="str">
            <v>SALARIES PBL</v>
          </cell>
          <cell r="E52">
            <v>131538</v>
          </cell>
          <cell r="F52">
            <v>131538</v>
          </cell>
        </row>
        <row r="53">
          <cell r="A53">
            <v>21802</v>
          </cell>
          <cell r="B53" t="str">
            <v>INTEREST RECD IN ADV</v>
          </cell>
          <cell r="E53">
            <v>705818</v>
          </cell>
        </row>
        <row r="54">
          <cell r="A54">
            <v>25403</v>
          </cell>
          <cell r="B54" t="str">
            <v>PROV.FORWD PREMIUM</v>
          </cell>
          <cell r="C54">
            <v>1376188</v>
          </cell>
          <cell r="D54">
            <v>1983741</v>
          </cell>
          <cell r="E54">
            <v>25408589</v>
          </cell>
          <cell r="F54">
            <v>27392330</v>
          </cell>
          <cell r="H54">
            <v>1983741</v>
          </cell>
        </row>
        <row r="55">
          <cell r="A55">
            <v>31201</v>
          </cell>
          <cell r="B55" t="str">
            <v>BUILDINGS-FACTORY</v>
          </cell>
          <cell r="G55">
            <v>88382894</v>
          </cell>
        </row>
        <row r="56">
          <cell r="A56">
            <v>31202</v>
          </cell>
          <cell r="B56" t="str">
            <v>BUILD-FACTR-LEASEHLD</v>
          </cell>
          <cell r="G56">
            <v>4896121.82</v>
          </cell>
        </row>
        <row r="57">
          <cell r="A57">
            <v>31211</v>
          </cell>
          <cell r="B57" t="str">
            <v>BUILDINGS-OFFICE</v>
          </cell>
          <cell r="E57">
            <v>323876.58</v>
          </cell>
          <cell r="G57">
            <v>323876.58</v>
          </cell>
        </row>
        <row r="58">
          <cell r="A58">
            <v>31301</v>
          </cell>
          <cell r="B58" t="str">
            <v>PLANT &amp; MACHINERY</v>
          </cell>
          <cell r="C58">
            <v>194880688.03</v>
          </cell>
          <cell r="E58">
            <v>230662192.83000001</v>
          </cell>
          <cell r="F58">
            <v>246000</v>
          </cell>
          <cell r="G58">
            <v>2534333892.96</v>
          </cell>
        </row>
        <row r="59">
          <cell r="A59">
            <v>31302</v>
          </cell>
          <cell r="B59" t="str">
            <v>ELEC. INSTAL&amp;FITTING</v>
          </cell>
          <cell r="C59">
            <v>8547098</v>
          </cell>
          <cell r="D59">
            <v>1020</v>
          </cell>
          <cell r="E59">
            <v>10342730.32</v>
          </cell>
          <cell r="F59">
            <v>1020.32</v>
          </cell>
          <cell r="G59">
            <v>11099780.880000001</v>
          </cell>
        </row>
        <row r="60">
          <cell r="A60">
            <v>31361</v>
          </cell>
          <cell r="B60" t="str">
            <v>OFFICE EQUIPMENTS</v>
          </cell>
          <cell r="C60">
            <v>135000</v>
          </cell>
          <cell r="E60">
            <v>184025</v>
          </cell>
          <cell r="G60">
            <v>398767.88</v>
          </cell>
        </row>
        <row r="61">
          <cell r="A61">
            <v>31362</v>
          </cell>
          <cell r="B61" t="str">
            <v>I.T. EQUIPMENTS</v>
          </cell>
          <cell r="E61">
            <v>37000</v>
          </cell>
          <cell r="G61">
            <v>306680</v>
          </cell>
        </row>
        <row r="62">
          <cell r="A62">
            <v>31401</v>
          </cell>
          <cell r="B62" t="str">
            <v>FURNITURE &amp; FIXTURE</v>
          </cell>
          <cell r="C62">
            <v>38000</v>
          </cell>
          <cell r="D62">
            <v>19000</v>
          </cell>
          <cell r="E62">
            <v>38000</v>
          </cell>
          <cell r="F62">
            <v>19000</v>
          </cell>
          <cell r="G62">
            <v>112990.37</v>
          </cell>
        </row>
        <row r="63">
          <cell r="A63">
            <v>31501</v>
          </cell>
          <cell r="B63" t="str">
            <v>VEHICLES</v>
          </cell>
          <cell r="G63">
            <v>391180</v>
          </cell>
        </row>
        <row r="64">
          <cell r="A64">
            <v>32201</v>
          </cell>
          <cell r="B64" t="str">
            <v>ACC. DEP BUILD-FACT.</v>
          </cell>
          <cell r="D64">
            <v>245999.05</v>
          </cell>
          <cell r="F64">
            <v>2951988.66</v>
          </cell>
          <cell r="H64">
            <v>14267945.199999999</v>
          </cell>
        </row>
        <row r="65">
          <cell r="A65">
            <v>32202</v>
          </cell>
          <cell r="B65" t="str">
            <v>ACC.DEP BLD-FCT-LEAS</v>
          </cell>
          <cell r="D65">
            <v>6650.57</v>
          </cell>
          <cell r="F65">
            <v>79806.789999999994</v>
          </cell>
          <cell r="H65">
            <v>120689.41</v>
          </cell>
        </row>
        <row r="66">
          <cell r="A66">
            <v>32211</v>
          </cell>
          <cell r="B66" t="str">
            <v>ACC.DEP BUILD.-OFFIC</v>
          </cell>
          <cell r="D66">
            <v>439.93</v>
          </cell>
          <cell r="F66">
            <v>1759.73</v>
          </cell>
          <cell r="H66">
            <v>1759.73</v>
          </cell>
        </row>
        <row r="67">
          <cell r="A67">
            <v>32301</v>
          </cell>
          <cell r="B67" t="str">
            <v>ACC. DEP P &amp; M</v>
          </cell>
          <cell r="D67">
            <v>12545558.539999999</v>
          </cell>
          <cell r="F67">
            <v>124387748.5</v>
          </cell>
          <cell r="H67">
            <v>577592711.63999999</v>
          </cell>
        </row>
        <row r="68">
          <cell r="A68">
            <v>32302</v>
          </cell>
          <cell r="B68" t="str">
            <v>ACC.DEP ELC INSTL&amp;FI</v>
          </cell>
          <cell r="C68">
            <v>6737.21</v>
          </cell>
          <cell r="D68">
            <v>70577.990000000005</v>
          </cell>
          <cell r="E68">
            <v>6737.21</v>
          </cell>
          <cell r="F68">
            <v>146379.95000000001</v>
          </cell>
          <cell r="H68">
            <v>178651.81</v>
          </cell>
        </row>
        <row r="69">
          <cell r="A69">
            <v>32361</v>
          </cell>
          <cell r="B69" t="str">
            <v>ACC. DEP OFF EQUIP</v>
          </cell>
          <cell r="D69">
            <v>5306.81</v>
          </cell>
          <cell r="F69">
            <v>15434.17</v>
          </cell>
          <cell r="H69">
            <v>16963.45</v>
          </cell>
        </row>
        <row r="70">
          <cell r="A70">
            <v>32362</v>
          </cell>
          <cell r="B70" t="str">
            <v>ACC. DEP I.T.EQUIP</v>
          </cell>
          <cell r="D70">
            <v>4142.74</v>
          </cell>
          <cell r="F70">
            <v>46713.99</v>
          </cell>
          <cell r="H70">
            <v>79002.16</v>
          </cell>
        </row>
        <row r="71">
          <cell r="A71">
            <v>32401</v>
          </cell>
          <cell r="B71" t="str">
            <v>ACC.DEP. FUR &amp;  FIXT</v>
          </cell>
          <cell r="D71">
            <v>408.09</v>
          </cell>
          <cell r="F71">
            <v>3794.76</v>
          </cell>
          <cell r="H71">
            <v>42943.8</v>
          </cell>
        </row>
        <row r="72">
          <cell r="A72">
            <v>32501</v>
          </cell>
          <cell r="B72" t="str">
            <v>ACC. DEP. VEHICLES</v>
          </cell>
          <cell r="D72">
            <v>3096.84</v>
          </cell>
          <cell r="F72">
            <v>37162.1</v>
          </cell>
          <cell r="H72">
            <v>71227.360000000001</v>
          </cell>
        </row>
        <row r="73">
          <cell r="A73">
            <v>33202</v>
          </cell>
          <cell r="B73" t="str">
            <v>CWIP OFF BUILDINGS</v>
          </cell>
          <cell r="E73">
            <v>444779.7</v>
          </cell>
          <cell r="F73">
            <v>470779.7</v>
          </cell>
        </row>
        <row r="74">
          <cell r="A74">
            <v>33301</v>
          </cell>
          <cell r="B74" t="str">
            <v>CWIP PLANT &amp; MACH</v>
          </cell>
          <cell r="C74">
            <v>22477555.629999999</v>
          </cell>
          <cell r="D74">
            <v>197158857.21000001</v>
          </cell>
          <cell r="E74">
            <v>321362849.62</v>
          </cell>
          <cell r="F74">
            <v>283026636.16000003</v>
          </cell>
          <cell r="G74">
            <v>63655205.899999999</v>
          </cell>
        </row>
        <row r="75">
          <cell r="A75">
            <v>33302</v>
          </cell>
          <cell r="B75" t="str">
            <v>CWIP ELECT. INST.</v>
          </cell>
          <cell r="F75">
            <v>598339.73</v>
          </cell>
        </row>
        <row r="76">
          <cell r="A76">
            <v>33361</v>
          </cell>
          <cell r="B76" t="str">
            <v>CWIP OFFICE EQUIP</v>
          </cell>
          <cell r="D76">
            <v>135000</v>
          </cell>
          <cell r="E76">
            <v>135000</v>
          </cell>
          <cell r="F76">
            <v>135000</v>
          </cell>
        </row>
        <row r="77">
          <cell r="A77">
            <v>33801</v>
          </cell>
          <cell r="B77" t="str">
            <v>D.PAY CAPITALIED A/C</v>
          </cell>
          <cell r="C77">
            <v>3916893.9</v>
          </cell>
          <cell r="D77">
            <v>19843199.879999999</v>
          </cell>
          <cell r="E77">
            <v>117051104.68000001</v>
          </cell>
          <cell r="F77">
            <v>114360147.68000001</v>
          </cell>
          <cell r="G77">
            <v>3629362</v>
          </cell>
        </row>
        <row r="78">
          <cell r="A78">
            <v>33802</v>
          </cell>
          <cell r="B78" t="str">
            <v>D.PAY CLEARING A/C</v>
          </cell>
          <cell r="C78">
            <v>19843199.879999999</v>
          </cell>
          <cell r="D78">
            <v>3916893.9</v>
          </cell>
          <cell r="E78">
            <v>114360147.68000001</v>
          </cell>
          <cell r="F78">
            <v>117051104.68000001</v>
          </cell>
          <cell r="H78">
            <v>3629362</v>
          </cell>
        </row>
        <row r="79">
          <cell r="A79">
            <v>33803</v>
          </cell>
          <cell r="B79" t="str">
            <v>D.PAY TANGIBLE ASSET</v>
          </cell>
          <cell r="C79">
            <v>7138314.9000000004</v>
          </cell>
          <cell r="D79">
            <v>20749870.879999999</v>
          </cell>
          <cell r="E79">
            <v>263759356.93000001</v>
          </cell>
          <cell r="F79">
            <v>260265197.18000001</v>
          </cell>
          <cell r="G79">
            <v>6956755.75</v>
          </cell>
        </row>
        <row r="80">
          <cell r="A80">
            <v>36101</v>
          </cell>
          <cell r="B80" t="str">
            <v>INVESTMENT IN NSC</v>
          </cell>
          <cell r="G80">
            <v>10000</v>
          </cell>
        </row>
        <row r="81">
          <cell r="A81">
            <v>42101</v>
          </cell>
          <cell r="B81" t="str">
            <v>INVENTORY-R M</v>
          </cell>
          <cell r="C81">
            <v>2470642.2000000002</v>
          </cell>
          <cell r="D81">
            <v>2415335.35</v>
          </cell>
          <cell r="E81">
            <v>27845190.57</v>
          </cell>
          <cell r="F81">
            <v>27192532.699999999</v>
          </cell>
          <cell r="G81">
            <v>1892674.12</v>
          </cell>
        </row>
        <row r="82">
          <cell r="A82">
            <v>42102</v>
          </cell>
          <cell r="B82" t="str">
            <v>INVENTORY-R M-IMP</v>
          </cell>
          <cell r="C82">
            <v>201169603.81</v>
          </cell>
          <cell r="D82">
            <v>149479768.47</v>
          </cell>
          <cell r="E82">
            <v>1914392113.74</v>
          </cell>
          <cell r="F82">
            <v>1852844303.8</v>
          </cell>
          <cell r="G82">
            <v>62549760.640000001</v>
          </cell>
        </row>
        <row r="83">
          <cell r="A83">
            <v>42103</v>
          </cell>
          <cell r="B83" t="str">
            <v>INVEN- R.M IN TRANSI</v>
          </cell>
          <cell r="C83">
            <v>64256483.200000003</v>
          </cell>
          <cell r="D83">
            <v>41590966.850000001</v>
          </cell>
          <cell r="E83">
            <v>198947639.18000001</v>
          </cell>
          <cell r="F83">
            <v>176282122.83000001</v>
          </cell>
          <cell r="G83">
            <v>22665516.350000001</v>
          </cell>
        </row>
        <row r="84">
          <cell r="A84">
            <v>42111</v>
          </cell>
          <cell r="B84" t="str">
            <v>INVENTORY-Rock Pebbl</v>
          </cell>
          <cell r="E84">
            <v>1804233.35</v>
          </cell>
          <cell r="F84">
            <v>1804233.35</v>
          </cell>
        </row>
        <row r="85">
          <cell r="A85">
            <v>42301</v>
          </cell>
          <cell r="B85" t="str">
            <v>INV-FIN GOODS</v>
          </cell>
          <cell r="C85">
            <v>127986275</v>
          </cell>
          <cell r="D85">
            <v>119322662.5</v>
          </cell>
          <cell r="E85">
            <v>1422791137.5</v>
          </cell>
          <cell r="F85">
            <v>1477058050</v>
          </cell>
          <cell r="G85">
            <v>64475025</v>
          </cell>
        </row>
        <row r="86">
          <cell r="A86">
            <v>42303</v>
          </cell>
          <cell r="B86" t="str">
            <v>INV-FI POSTINGS</v>
          </cell>
          <cell r="G86">
            <v>23342306</v>
          </cell>
        </row>
        <row r="87">
          <cell r="A87">
            <v>42305</v>
          </cell>
          <cell r="B87" t="str">
            <v>INV-SULPHURIC ACID</v>
          </cell>
          <cell r="C87">
            <v>16614600</v>
          </cell>
          <cell r="D87">
            <v>16614600</v>
          </cell>
          <cell r="E87">
            <v>87642000</v>
          </cell>
          <cell r="F87">
            <v>87642000</v>
          </cell>
        </row>
        <row r="88">
          <cell r="A88">
            <v>42401</v>
          </cell>
          <cell r="B88" t="str">
            <v>INV-STORES &amp; SP</v>
          </cell>
          <cell r="C88">
            <v>5143298.1399999997</v>
          </cell>
          <cell r="D88">
            <v>12917256.68</v>
          </cell>
          <cell r="E88">
            <v>53011466.149999999</v>
          </cell>
          <cell r="F88">
            <v>63699142.299999997</v>
          </cell>
          <cell r="G88">
            <v>5248508.76</v>
          </cell>
        </row>
        <row r="89">
          <cell r="A89">
            <v>42402</v>
          </cell>
          <cell r="B89" t="str">
            <v>INV-STR&amp;SPA-IMP</v>
          </cell>
          <cell r="C89">
            <v>1497977.48</v>
          </cell>
          <cell r="D89">
            <v>4414485.88</v>
          </cell>
          <cell r="E89">
            <v>18792406.52</v>
          </cell>
          <cell r="F89">
            <v>21386397.690000001</v>
          </cell>
          <cell r="G89">
            <v>12830056.939999999</v>
          </cell>
        </row>
        <row r="90">
          <cell r="A90">
            <v>42602</v>
          </cell>
          <cell r="B90" t="str">
            <v>INV PETROL PROD</v>
          </cell>
          <cell r="C90">
            <v>300231.01</v>
          </cell>
          <cell r="D90">
            <v>300415.90999999997</v>
          </cell>
          <cell r="E90">
            <v>4973404.7699999996</v>
          </cell>
          <cell r="F90">
            <v>4973404.7699999996</v>
          </cell>
        </row>
        <row r="91">
          <cell r="A91">
            <v>42603</v>
          </cell>
          <cell r="B91" t="str">
            <v>INV RELINING(INDGN)</v>
          </cell>
          <cell r="E91">
            <v>338000</v>
          </cell>
          <cell r="F91">
            <v>338000</v>
          </cell>
        </row>
        <row r="92">
          <cell r="A92">
            <v>43101</v>
          </cell>
          <cell r="B92" t="str">
            <v>S. DEBTORS</v>
          </cell>
          <cell r="C92">
            <v>205078313.63999999</v>
          </cell>
          <cell r="D92">
            <v>276090187.86000001</v>
          </cell>
          <cell r="E92">
            <v>2801159167.46</v>
          </cell>
          <cell r="F92">
            <v>2707417585.5300002</v>
          </cell>
          <cell r="G92">
            <v>239769320.74000001</v>
          </cell>
        </row>
        <row r="93">
          <cell r="A93">
            <v>43107</v>
          </cell>
          <cell r="B93" t="str">
            <v>S. DEBTORS-SCRAP</v>
          </cell>
          <cell r="E93">
            <v>182476.09</v>
          </cell>
          <cell r="F93">
            <v>210000</v>
          </cell>
          <cell r="H93">
            <v>27523.91</v>
          </cell>
        </row>
        <row r="94">
          <cell r="A94">
            <v>43501</v>
          </cell>
          <cell r="B94" t="str">
            <v>ADV. TO CREDITORS</v>
          </cell>
          <cell r="C94">
            <v>6252561.5199999996</v>
          </cell>
          <cell r="D94">
            <v>7592614.4699999997</v>
          </cell>
          <cell r="E94">
            <v>134681745.58000001</v>
          </cell>
          <cell r="F94">
            <v>149107576.09999999</v>
          </cell>
          <cell r="G94">
            <v>889713.48</v>
          </cell>
        </row>
        <row r="95">
          <cell r="A95">
            <v>43751</v>
          </cell>
          <cell r="B95" t="str">
            <v>B.G (REC.)</v>
          </cell>
          <cell r="E95">
            <v>98600000</v>
          </cell>
          <cell r="F95">
            <v>77200000</v>
          </cell>
          <cell r="G95">
            <v>60000000</v>
          </cell>
        </row>
        <row r="96">
          <cell r="A96">
            <v>43752</v>
          </cell>
          <cell r="B96" t="str">
            <v>B.G CLEARING A/C</v>
          </cell>
          <cell r="E96">
            <v>77200000</v>
          </cell>
          <cell r="F96">
            <v>98600000</v>
          </cell>
          <cell r="H96">
            <v>60000000</v>
          </cell>
        </row>
        <row r="97">
          <cell r="A97">
            <v>43753</v>
          </cell>
          <cell r="B97" t="str">
            <v>B/G GIVEN-SP GL-VEND</v>
          </cell>
          <cell r="H97">
            <v>6668287</v>
          </cell>
        </row>
        <row r="98">
          <cell r="A98">
            <v>43754</v>
          </cell>
          <cell r="B98" t="str">
            <v>BK GUARTEE-CLR-VEND</v>
          </cell>
          <cell r="G98">
            <v>6668287</v>
          </cell>
        </row>
        <row r="99">
          <cell r="A99">
            <v>44190</v>
          </cell>
          <cell r="B99" t="str">
            <v>MAIN-IOB-102-12865</v>
          </cell>
          <cell r="C99">
            <v>54</v>
          </cell>
          <cell r="E99">
            <v>6011461</v>
          </cell>
          <cell r="F99">
            <v>6011000</v>
          </cell>
          <cell r="G99">
            <v>6501</v>
          </cell>
        </row>
        <row r="100">
          <cell r="A100">
            <v>44385</v>
          </cell>
          <cell r="B100" t="str">
            <v>CLG-IOB-102-12865</v>
          </cell>
          <cell r="C100">
            <v>54</v>
          </cell>
          <cell r="D100">
            <v>54</v>
          </cell>
          <cell r="E100">
            <v>54</v>
          </cell>
          <cell r="F100">
            <v>54</v>
          </cell>
        </row>
        <row r="101">
          <cell r="A101">
            <v>51143</v>
          </cell>
          <cell r="B101" t="str">
            <v>DEP-EARNEST MONEY</v>
          </cell>
        </row>
        <row r="102">
          <cell r="A102">
            <v>51305</v>
          </cell>
          <cell r="B102" t="str">
            <v>CLAIMS-INSURANCE</v>
          </cell>
          <cell r="C102">
            <v>156396</v>
          </cell>
          <cell r="E102">
            <v>10298960</v>
          </cell>
          <cell r="F102">
            <v>7398344</v>
          </cell>
          <cell r="G102">
            <v>3395547</v>
          </cell>
        </row>
        <row r="103">
          <cell r="A103">
            <v>51307</v>
          </cell>
          <cell r="B103" t="str">
            <v>EXPORT BENEFIT REC.</v>
          </cell>
          <cell r="C103">
            <v>14733</v>
          </cell>
          <cell r="E103">
            <v>6039805</v>
          </cell>
          <cell r="F103">
            <v>6025072</v>
          </cell>
        </row>
        <row r="104">
          <cell r="A104">
            <v>51315</v>
          </cell>
          <cell r="B104" t="str">
            <v>INCOME RECEIVABLES</v>
          </cell>
          <cell r="C104">
            <v>13875557</v>
          </cell>
          <cell r="D104">
            <v>14377086</v>
          </cell>
          <cell r="E104">
            <v>110148612.26000001</v>
          </cell>
          <cell r="F104">
            <v>105894841.26000001</v>
          </cell>
          <cell r="G104">
            <v>5562739</v>
          </cell>
        </row>
        <row r="105">
          <cell r="A105">
            <v>51551</v>
          </cell>
          <cell r="B105" t="str">
            <v>ADV.-CUSTOM DUTY</v>
          </cell>
          <cell r="C105">
            <v>743361.01</v>
          </cell>
          <cell r="D105">
            <v>4832869.01</v>
          </cell>
          <cell r="E105">
            <v>11426453.01</v>
          </cell>
          <cell r="F105">
            <v>11368433.01</v>
          </cell>
          <cell r="G105">
            <v>58020</v>
          </cell>
        </row>
        <row r="106">
          <cell r="A106">
            <v>51601</v>
          </cell>
          <cell r="B106" t="str">
            <v>CUSTOM DT RECEIVABLE</v>
          </cell>
          <cell r="C106">
            <v>1018576</v>
          </cell>
          <cell r="D106">
            <v>723799</v>
          </cell>
          <cell r="E106">
            <v>3886691</v>
          </cell>
          <cell r="F106">
            <v>723799</v>
          </cell>
          <cell r="G106">
            <v>4242505.28</v>
          </cell>
        </row>
        <row r="107">
          <cell r="A107">
            <v>51602</v>
          </cell>
          <cell r="B107" t="str">
            <v>EXCISE RECEIVABLE(H)</v>
          </cell>
          <cell r="C107">
            <v>678039</v>
          </cell>
          <cell r="E107">
            <v>10506247.619999999</v>
          </cell>
          <cell r="F107">
            <v>3455047.2</v>
          </cell>
          <cell r="G107">
            <v>10053905.119999999</v>
          </cell>
        </row>
        <row r="108">
          <cell r="A108">
            <v>51607</v>
          </cell>
          <cell r="B108" t="str">
            <v>DEBIT CLEARING A/C</v>
          </cell>
          <cell r="C108">
            <v>21503.77</v>
          </cell>
          <cell r="D108">
            <v>21503.77</v>
          </cell>
          <cell r="E108">
            <v>154077</v>
          </cell>
          <cell r="F108">
            <v>157805.21</v>
          </cell>
        </row>
        <row r="109">
          <cell r="A109">
            <v>51634</v>
          </cell>
          <cell r="B109" t="str">
            <v>OVERAGE PREMIUM RECO</v>
          </cell>
          <cell r="E109">
            <v>347583</v>
          </cell>
          <cell r="F109">
            <v>469304</v>
          </cell>
        </row>
        <row r="110">
          <cell r="A110">
            <v>51635</v>
          </cell>
          <cell r="B110" t="str">
            <v>QUANTITY DISCOUNT RE</v>
          </cell>
          <cell r="C110">
            <v>6830140.5</v>
          </cell>
          <cell r="E110">
            <v>64219464.5</v>
          </cell>
          <cell r="F110">
            <v>72022952</v>
          </cell>
          <cell r="G110">
            <v>23670262.5</v>
          </cell>
        </row>
        <row r="111">
          <cell r="A111">
            <v>52101</v>
          </cell>
          <cell r="B111" t="str">
            <v>R.G.23A PART II</v>
          </cell>
          <cell r="E111">
            <v>236970</v>
          </cell>
          <cell r="F111">
            <v>236970</v>
          </cell>
        </row>
        <row r="112">
          <cell r="A112">
            <v>52104</v>
          </cell>
          <cell r="B112" t="str">
            <v>R.G.23A PART II-CESS</v>
          </cell>
          <cell r="E112">
            <v>871</v>
          </cell>
          <cell r="F112">
            <v>871</v>
          </cell>
        </row>
        <row r="113">
          <cell r="A113">
            <v>52106</v>
          </cell>
          <cell r="B113" t="str">
            <v>SERVICE TAX CREDIT</v>
          </cell>
          <cell r="C113">
            <v>893622</v>
          </cell>
          <cell r="E113">
            <v>2336344</v>
          </cell>
          <cell r="F113">
            <v>289494</v>
          </cell>
          <cell r="G113">
            <v>2046850</v>
          </cell>
        </row>
        <row r="114">
          <cell r="A114">
            <v>52107</v>
          </cell>
          <cell r="B114" t="str">
            <v>CESS ON SERVICE</v>
          </cell>
          <cell r="C114">
            <v>17873</v>
          </cell>
          <cell r="E114">
            <v>47746</v>
          </cell>
          <cell r="F114">
            <v>6811</v>
          </cell>
          <cell r="G114">
            <v>40935</v>
          </cell>
        </row>
        <row r="115">
          <cell r="A115">
            <v>52201</v>
          </cell>
          <cell r="B115" t="str">
            <v>R.G.23C PART II</v>
          </cell>
          <cell r="C115">
            <v>664745</v>
          </cell>
          <cell r="D115">
            <v>664745</v>
          </cell>
          <cell r="E115">
            <v>10347627</v>
          </cell>
          <cell r="F115">
            <v>10347627</v>
          </cell>
        </row>
        <row r="116">
          <cell r="A116">
            <v>52204</v>
          </cell>
          <cell r="B116" t="str">
            <v>R.G.23C PART II-CESS</v>
          </cell>
          <cell r="C116">
            <v>13294</v>
          </cell>
          <cell r="D116">
            <v>13294</v>
          </cell>
          <cell r="E116">
            <v>163267.62</v>
          </cell>
          <cell r="F116">
            <v>163267.62</v>
          </cell>
        </row>
        <row r="117">
          <cell r="A117">
            <v>53201</v>
          </cell>
          <cell r="B117" t="str">
            <v>TDS ON INCOME</v>
          </cell>
          <cell r="C117">
            <v>241531</v>
          </cell>
          <cell r="E117">
            <v>1693942</v>
          </cell>
          <cell r="F117">
            <v>2209176</v>
          </cell>
          <cell r="G117">
            <v>824796</v>
          </cell>
        </row>
        <row r="118">
          <cell r="A118">
            <v>61101</v>
          </cell>
          <cell r="B118" t="str">
            <v>SALES OF FG</v>
          </cell>
          <cell r="C118">
            <v>1329316.28</v>
          </cell>
          <cell r="D118">
            <v>155083256.09</v>
          </cell>
          <cell r="E118">
            <v>167987717.28999999</v>
          </cell>
          <cell r="F118">
            <v>1844411677.6700001</v>
          </cell>
          <cell r="H118">
            <v>1676423960.3800001</v>
          </cell>
        </row>
        <row r="119">
          <cell r="A119">
            <v>61201</v>
          </cell>
          <cell r="B119" t="str">
            <v>SALES OF BY PRD</v>
          </cell>
          <cell r="D119">
            <v>5861</v>
          </cell>
          <cell r="F119">
            <v>40391</v>
          </cell>
          <cell r="H119">
            <v>40391</v>
          </cell>
        </row>
        <row r="120">
          <cell r="A120">
            <v>61401</v>
          </cell>
          <cell r="B120" t="str">
            <v>SALES OF SCRAP</v>
          </cell>
          <cell r="F120">
            <v>154700</v>
          </cell>
          <cell r="H120">
            <v>154700</v>
          </cell>
        </row>
        <row r="121">
          <cell r="A121">
            <v>61501</v>
          </cell>
          <cell r="B121" t="str">
            <v>SALES OTHERS</v>
          </cell>
          <cell r="C121">
            <v>13395</v>
          </cell>
          <cell r="E121">
            <v>13232171.720000001</v>
          </cell>
          <cell r="F121">
            <v>75759954.969999999</v>
          </cell>
          <cell r="H121">
            <v>62527783.25</v>
          </cell>
        </row>
        <row r="122">
          <cell r="A122">
            <v>61601</v>
          </cell>
          <cell r="B122" t="str">
            <v>EXPORT SALES</v>
          </cell>
          <cell r="E122">
            <v>383426.82</v>
          </cell>
          <cell r="F122">
            <v>125841717.3</v>
          </cell>
          <cell r="H122">
            <v>125458290.48</v>
          </cell>
        </row>
        <row r="123">
          <cell r="A123">
            <v>61986</v>
          </cell>
          <cell r="B123" t="str">
            <v>CESS BILLED</v>
          </cell>
          <cell r="C123">
            <v>1377.88</v>
          </cell>
          <cell r="D123">
            <v>49185.279999999999</v>
          </cell>
          <cell r="E123">
            <v>1902.88</v>
          </cell>
          <cell r="F123">
            <v>477577.32</v>
          </cell>
          <cell r="H123">
            <v>475674.44</v>
          </cell>
        </row>
        <row r="124">
          <cell r="A124">
            <v>61999</v>
          </cell>
          <cell r="B124" t="str">
            <v>EXCISE DUTY BILLED</v>
          </cell>
          <cell r="C124">
            <v>69354.16</v>
          </cell>
          <cell r="D124">
            <v>2459821.36</v>
          </cell>
          <cell r="E124">
            <v>324955.56</v>
          </cell>
          <cell r="F124">
            <v>31766363</v>
          </cell>
          <cell r="H124">
            <v>31441407.440000001</v>
          </cell>
        </row>
        <row r="125">
          <cell r="A125">
            <v>65201</v>
          </cell>
          <cell r="B125" t="str">
            <v>INTT. FROM CUSTOMERS</v>
          </cell>
          <cell r="E125">
            <v>44999.41</v>
          </cell>
          <cell r="F125">
            <v>3123352.37</v>
          </cell>
          <cell r="H125">
            <v>3078352.96</v>
          </cell>
        </row>
        <row r="126">
          <cell r="A126">
            <v>65301</v>
          </cell>
          <cell r="B126" t="str">
            <v>EXPORT BENEFIT RECD</v>
          </cell>
          <cell r="C126">
            <v>24518</v>
          </cell>
          <cell r="E126">
            <v>24518</v>
          </cell>
          <cell r="F126">
            <v>12089340</v>
          </cell>
          <cell r="H126">
            <v>12064822</v>
          </cell>
        </row>
        <row r="127">
          <cell r="A127">
            <v>65701</v>
          </cell>
          <cell r="B127" t="str">
            <v>PRIOR PERIOD INCOME</v>
          </cell>
          <cell r="D127">
            <v>14733</v>
          </cell>
          <cell r="F127">
            <v>14733</v>
          </cell>
          <cell r="H127">
            <v>14733</v>
          </cell>
        </row>
        <row r="128">
          <cell r="A128">
            <v>65801</v>
          </cell>
          <cell r="B128" t="str">
            <v>OTHER INCOME</v>
          </cell>
          <cell r="C128">
            <v>13000</v>
          </cell>
          <cell r="D128">
            <v>3280</v>
          </cell>
          <cell r="E128">
            <v>104944</v>
          </cell>
          <cell r="F128">
            <v>163191.29</v>
          </cell>
          <cell r="H128">
            <v>58247.29</v>
          </cell>
        </row>
        <row r="129">
          <cell r="A129">
            <v>65802</v>
          </cell>
          <cell r="B129" t="str">
            <v>INCOME-EARLY DISC.</v>
          </cell>
          <cell r="F129">
            <v>3128345</v>
          </cell>
          <cell r="H129">
            <v>3128345</v>
          </cell>
        </row>
        <row r="130">
          <cell r="A130">
            <v>65806</v>
          </cell>
          <cell r="B130" t="str">
            <v>QTY. DISCOUNT RECD</v>
          </cell>
          <cell r="C130">
            <v>17571612.629999999</v>
          </cell>
          <cell r="E130">
            <v>54188180.630000003</v>
          </cell>
          <cell r="F130">
            <v>54188180.630000003</v>
          </cell>
        </row>
        <row r="131">
          <cell r="A131">
            <v>65807</v>
          </cell>
          <cell r="B131" t="str">
            <v>INCOME-RENT RECOVERY</v>
          </cell>
          <cell r="F131">
            <v>4500</v>
          </cell>
          <cell r="H131">
            <v>4500</v>
          </cell>
        </row>
        <row r="132">
          <cell r="A132">
            <v>71101</v>
          </cell>
          <cell r="B132" t="str">
            <v>CONSP.-RM-INDGNS.</v>
          </cell>
          <cell r="C132">
            <v>1383356.32</v>
          </cell>
          <cell r="D132">
            <v>148423.15</v>
          </cell>
          <cell r="E132">
            <v>15397022.550000001</v>
          </cell>
          <cell r="F132">
            <v>222394.66</v>
          </cell>
          <cell r="G132">
            <v>15174627.890000001</v>
          </cell>
        </row>
        <row r="133">
          <cell r="A133">
            <v>71102</v>
          </cell>
          <cell r="B133" t="str">
            <v>CONSM-RM-IMPORTED</v>
          </cell>
          <cell r="C133">
            <v>102470958.38</v>
          </cell>
          <cell r="D133">
            <v>1002598.22</v>
          </cell>
          <cell r="E133">
            <v>1223541771.3800001</v>
          </cell>
          <cell r="F133">
            <v>128945651.95999999</v>
          </cell>
          <cell r="G133">
            <v>1094596119.4200001</v>
          </cell>
        </row>
        <row r="134">
          <cell r="A134">
            <v>71112</v>
          </cell>
          <cell r="B134" t="str">
            <v>INV.VALUATION ADJ-RM</v>
          </cell>
          <cell r="C134">
            <v>658854.66</v>
          </cell>
          <cell r="D134">
            <v>656166.03</v>
          </cell>
          <cell r="E134">
            <v>10694233.1</v>
          </cell>
          <cell r="F134">
            <v>12774383.68</v>
          </cell>
          <cell r="H134">
            <v>2080150.58</v>
          </cell>
        </row>
        <row r="135">
          <cell r="A135">
            <v>71201</v>
          </cell>
          <cell r="B135" t="str">
            <v>DIFF.COST OF RM-IND</v>
          </cell>
          <cell r="C135">
            <v>5397.79</v>
          </cell>
          <cell r="D135">
            <v>35198.86</v>
          </cell>
          <cell r="E135">
            <v>1530778.17</v>
          </cell>
          <cell r="F135">
            <v>2088725.95</v>
          </cell>
          <cell r="H135">
            <v>557947.78</v>
          </cell>
        </row>
        <row r="136">
          <cell r="A136">
            <v>71202</v>
          </cell>
          <cell r="B136" t="str">
            <v>DIFF.COST OF RM-IMP</v>
          </cell>
          <cell r="C136">
            <v>5985815.4199999999</v>
          </cell>
          <cell r="D136">
            <v>27216015.57</v>
          </cell>
          <cell r="E136">
            <v>27205825.670000002</v>
          </cell>
          <cell r="F136">
            <v>67187646.439999998</v>
          </cell>
          <cell r="H136">
            <v>39981820.770000003</v>
          </cell>
        </row>
        <row r="137">
          <cell r="A137">
            <v>71401</v>
          </cell>
          <cell r="B137" t="str">
            <v>CUSTOM DT- RM</v>
          </cell>
          <cell r="C137">
            <v>258266.09</v>
          </cell>
          <cell r="E137">
            <v>725104.79</v>
          </cell>
          <cell r="F137">
            <v>14280.15</v>
          </cell>
          <cell r="G137">
            <v>710824.64</v>
          </cell>
        </row>
        <row r="138">
          <cell r="A138">
            <v>71501</v>
          </cell>
          <cell r="B138" t="str">
            <v>FOREX FLUCT.-RM</v>
          </cell>
          <cell r="C138">
            <v>6937269.29</v>
          </cell>
          <cell r="D138">
            <v>6773679.0099999998</v>
          </cell>
          <cell r="E138">
            <v>209877085.11000001</v>
          </cell>
          <cell r="F138">
            <v>183355518.47</v>
          </cell>
          <cell r="G138">
            <v>26521566.640000001</v>
          </cell>
        </row>
        <row r="139">
          <cell r="A139">
            <v>71602</v>
          </cell>
          <cell r="B139" t="str">
            <v>ANALYSIS CHGS -R.M.</v>
          </cell>
          <cell r="E139">
            <v>6308</v>
          </cell>
          <cell r="G139">
            <v>6308</v>
          </cell>
        </row>
        <row r="140">
          <cell r="A140">
            <v>71801</v>
          </cell>
          <cell r="B140" t="str">
            <v>COST OF FG PRODUCED</v>
          </cell>
          <cell r="D140">
            <v>127560112.5</v>
          </cell>
          <cell r="E140">
            <v>92628287.5</v>
          </cell>
          <cell r="F140">
            <v>1316259637.5</v>
          </cell>
          <cell r="H140">
            <v>1223631350</v>
          </cell>
        </row>
        <row r="141">
          <cell r="A141">
            <v>71853</v>
          </cell>
          <cell r="B141" t="str">
            <v>COST OF FGOODS SOLD</v>
          </cell>
          <cell r="C141">
            <v>119322662.5</v>
          </cell>
          <cell r="D141">
            <v>88069362.5</v>
          </cell>
          <cell r="E141">
            <v>1384429762.5</v>
          </cell>
          <cell r="F141">
            <v>106531500</v>
          </cell>
          <cell r="G141">
            <v>1277898262.5</v>
          </cell>
        </row>
        <row r="142">
          <cell r="A142">
            <v>71856</v>
          </cell>
          <cell r="B142" t="str">
            <v>COST OF R.M.SOLD</v>
          </cell>
          <cell r="E142">
            <v>87921780.569999993</v>
          </cell>
          <cell r="F142">
            <v>32214611.949999999</v>
          </cell>
          <cell r="G142">
            <v>55707168.619999997</v>
          </cell>
        </row>
        <row r="143">
          <cell r="A143">
            <v>73101</v>
          </cell>
          <cell r="B143" t="str">
            <v>CONSP-S.&amp; SPARES(IND</v>
          </cell>
          <cell r="C143">
            <v>2462771.59</v>
          </cell>
          <cell r="D143">
            <v>3469703.52</v>
          </cell>
          <cell r="E143">
            <v>45823108.93</v>
          </cell>
          <cell r="F143">
            <v>10363404.539999999</v>
          </cell>
          <cell r="G143">
            <v>35459704.390000001</v>
          </cell>
        </row>
        <row r="144">
          <cell r="A144">
            <v>73102</v>
          </cell>
          <cell r="B144" t="str">
            <v>CONSP-RELINING MAT.(</v>
          </cell>
          <cell r="E144">
            <v>338000</v>
          </cell>
          <cell r="G144">
            <v>338000</v>
          </cell>
        </row>
        <row r="145">
          <cell r="A145">
            <v>73103</v>
          </cell>
          <cell r="B145" t="str">
            <v>CONSP-STORE/SPARE-IM</v>
          </cell>
          <cell r="C145">
            <v>4787682.42</v>
          </cell>
          <cell r="D145">
            <v>25014.75</v>
          </cell>
          <cell r="E145">
            <v>21169328.789999999</v>
          </cell>
          <cell r="F145">
            <v>1214462.6200000001</v>
          </cell>
          <cell r="G145">
            <v>19954866.170000002</v>
          </cell>
        </row>
        <row r="146">
          <cell r="A146">
            <v>73109</v>
          </cell>
          <cell r="B146" t="str">
            <v>INV.VALN ADJ-SPARES</v>
          </cell>
          <cell r="C146">
            <v>0.05</v>
          </cell>
          <cell r="D146">
            <v>537.16999999999996</v>
          </cell>
          <cell r="E146">
            <v>4208.25</v>
          </cell>
          <cell r="F146">
            <v>10601.71</v>
          </cell>
          <cell r="H146">
            <v>6393.46</v>
          </cell>
        </row>
        <row r="147">
          <cell r="A147">
            <v>73120</v>
          </cell>
          <cell r="B147" t="str">
            <v>CONSUMPTION S ACID</v>
          </cell>
          <cell r="C147">
            <v>326433790</v>
          </cell>
          <cell r="E147">
            <v>396783190</v>
          </cell>
          <cell r="F147">
            <v>1354800</v>
          </cell>
          <cell r="G147">
            <v>395428390</v>
          </cell>
        </row>
        <row r="148">
          <cell r="A148">
            <v>73201</v>
          </cell>
          <cell r="B148" t="str">
            <v>DIFF.COST-SPARES-IND</v>
          </cell>
          <cell r="C148">
            <v>18612.419999999998</v>
          </cell>
          <cell r="D148">
            <v>21568.45</v>
          </cell>
          <cell r="E148">
            <v>571770.96</v>
          </cell>
          <cell r="F148">
            <v>1214200.7</v>
          </cell>
          <cell r="H148">
            <v>642429.74</v>
          </cell>
        </row>
        <row r="149">
          <cell r="A149">
            <v>73202</v>
          </cell>
          <cell r="B149" t="str">
            <v>DIFF.COST-SPARES-IMP</v>
          </cell>
          <cell r="C149">
            <v>3360.41</v>
          </cell>
          <cell r="D149">
            <v>398780.15</v>
          </cell>
          <cell r="E149">
            <v>859424.87</v>
          </cell>
          <cell r="F149">
            <v>1047050.86</v>
          </cell>
          <cell r="H149">
            <v>187625.99</v>
          </cell>
        </row>
        <row r="150">
          <cell r="A150">
            <v>73401</v>
          </cell>
          <cell r="B150" t="str">
            <v>CUSTOM DT- SPARES</v>
          </cell>
          <cell r="E150">
            <v>3800.71</v>
          </cell>
          <cell r="G150">
            <v>3800.71</v>
          </cell>
        </row>
        <row r="151">
          <cell r="A151">
            <v>73501</v>
          </cell>
          <cell r="B151" t="str">
            <v>FOREX FLUCT.-SPARES</v>
          </cell>
          <cell r="C151">
            <v>266321.73</v>
          </cell>
          <cell r="D151">
            <v>279878.03000000003</v>
          </cell>
          <cell r="E151">
            <v>4960006.95</v>
          </cell>
          <cell r="F151">
            <v>4303011.58</v>
          </cell>
          <cell r="G151">
            <v>656995.37</v>
          </cell>
        </row>
        <row r="152">
          <cell r="A152">
            <v>73705</v>
          </cell>
          <cell r="B152" t="str">
            <v>CASH PURCHASE-ST&amp;SP</v>
          </cell>
          <cell r="C152">
            <v>475</v>
          </cell>
          <cell r="E152">
            <v>3830</v>
          </cell>
          <cell r="G152">
            <v>3830</v>
          </cell>
        </row>
        <row r="153">
          <cell r="A153">
            <v>74101</v>
          </cell>
          <cell r="B153" t="str">
            <v>POWER CHARGES</v>
          </cell>
          <cell r="C153">
            <v>7200990</v>
          </cell>
          <cell r="E153">
            <v>81431826</v>
          </cell>
          <cell r="F153">
            <v>7828956</v>
          </cell>
          <cell r="G153">
            <v>73602870</v>
          </cell>
        </row>
        <row r="154">
          <cell r="A154">
            <v>74201</v>
          </cell>
          <cell r="B154" t="str">
            <v>CONSP-PETROLEUM COST</v>
          </cell>
          <cell r="C154">
            <v>300415.90999999997</v>
          </cell>
          <cell r="D154">
            <v>248.61</v>
          </cell>
          <cell r="E154">
            <v>4952816.0599999996</v>
          </cell>
          <cell r="F154">
            <v>21021.55</v>
          </cell>
          <cell r="G154">
            <v>4931794.51</v>
          </cell>
        </row>
        <row r="155">
          <cell r="A155">
            <v>74203</v>
          </cell>
          <cell r="B155" t="str">
            <v>DIFF COST-PETROLEUM</v>
          </cell>
          <cell r="C155">
            <v>23847500</v>
          </cell>
          <cell r="E155">
            <v>39022635.799999997</v>
          </cell>
          <cell r="F155">
            <v>2640360.9</v>
          </cell>
          <cell r="G155">
            <v>36382274.899999999</v>
          </cell>
        </row>
        <row r="156">
          <cell r="A156">
            <v>74301</v>
          </cell>
          <cell r="B156" t="str">
            <v>WATER CHARGES</v>
          </cell>
          <cell r="C156">
            <v>911643.93</v>
          </cell>
          <cell r="E156">
            <v>10272493.890000001</v>
          </cell>
          <cell r="F156">
            <v>28481.01</v>
          </cell>
          <cell r="G156">
            <v>10244012.880000001</v>
          </cell>
        </row>
        <row r="157">
          <cell r="A157">
            <v>75101</v>
          </cell>
          <cell r="B157" t="str">
            <v>MACHINERY  REP.&amp; MAI</v>
          </cell>
          <cell r="C157">
            <v>6889089.3600000003</v>
          </cell>
          <cell r="D157">
            <v>717808.74</v>
          </cell>
          <cell r="E157">
            <v>68976267.989999995</v>
          </cell>
          <cell r="F157">
            <v>12104928.619999999</v>
          </cell>
          <cell r="G157">
            <v>56871339.369999997</v>
          </cell>
        </row>
        <row r="158">
          <cell r="A158">
            <v>75102</v>
          </cell>
          <cell r="B158" t="str">
            <v>MACHINERY AMC</v>
          </cell>
          <cell r="C158">
            <v>2206972</v>
          </cell>
          <cell r="D158">
            <v>2038.17</v>
          </cell>
          <cell r="E158">
            <v>21278965.859999999</v>
          </cell>
          <cell r="F158">
            <v>120099.64</v>
          </cell>
          <cell r="G158">
            <v>21158866.219999999</v>
          </cell>
        </row>
        <row r="159">
          <cell r="A159">
            <v>76101</v>
          </cell>
          <cell r="B159" t="str">
            <v>EXCISE DUTY-EXP</v>
          </cell>
          <cell r="C159">
            <v>2578648.83</v>
          </cell>
          <cell r="D159">
            <v>140295</v>
          </cell>
          <cell r="E159">
            <v>32598004.030000001</v>
          </cell>
          <cell r="F159">
            <v>477568.64</v>
          </cell>
          <cell r="G159">
            <v>32120435.390000001</v>
          </cell>
        </row>
        <row r="160">
          <cell r="A160">
            <v>76108</v>
          </cell>
          <cell r="B160" t="str">
            <v>CESS-EXP</v>
          </cell>
          <cell r="C160">
            <v>6.5</v>
          </cell>
          <cell r="E160">
            <v>117242.54</v>
          </cell>
          <cell r="F160">
            <v>1051</v>
          </cell>
          <cell r="G160">
            <v>116191.54</v>
          </cell>
        </row>
        <row r="161">
          <cell r="A161">
            <v>78105</v>
          </cell>
          <cell r="B161" t="str">
            <v>TECH. SERVICE CHARGE</v>
          </cell>
          <cell r="E161">
            <v>584697.25</v>
          </cell>
          <cell r="F161">
            <v>35700</v>
          </cell>
          <cell r="G161">
            <v>548997.25</v>
          </cell>
        </row>
        <row r="162">
          <cell r="A162">
            <v>78115</v>
          </cell>
          <cell r="B162" t="str">
            <v>CARRIAGE OUTWARD</v>
          </cell>
          <cell r="C162">
            <v>2850941.18</v>
          </cell>
          <cell r="D162">
            <v>3859109.45</v>
          </cell>
          <cell r="E162">
            <v>3911579.15</v>
          </cell>
          <cell r="F162">
            <v>3911579.15</v>
          </cell>
        </row>
        <row r="163">
          <cell r="A163">
            <v>78554</v>
          </cell>
          <cell r="B163" t="str">
            <v>CONV CHGS PROC GOOD</v>
          </cell>
          <cell r="D163">
            <v>33600</v>
          </cell>
          <cell r="E163">
            <v>175654.03</v>
          </cell>
          <cell r="F163">
            <v>33803.03</v>
          </cell>
          <cell r="G163">
            <v>141851</v>
          </cell>
        </row>
        <row r="164">
          <cell r="A164">
            <v>78560</v>
          </cell>
          <cell r="B164" t="str">
            <v>C.O.S.ROCK PEBBLES</v>
          </cell>
          <cell r="E164">
            <v>1763584.75</v>
          </cell>
          <cell r="G164">
            <v>1763584.75</v>
          </cell>
        </row>
        <row r="165">
          <cell r="A165">
            <v>81101</v>
          </cell>
          <cell r="B165" t="str">
            <v>SALARIES</v>
          </cell>
          <cell r="C165">
            <v>546882</v>
          </cell>
          <cell r="D165">
            <v>2908796</v>
          </cell>
          <cell r="E165">
            <v>7576180.1299999999</v>
          </cell>
          <cell r="F165">
            <v>3533155</v>
          </cell>
          <cell r="G165">
            <v>4043025.13</v>
          </cell>
        </row>
        <row r="166">
          <cell r="A166">
            <v>81102</v>
          </cell>
          <cell r="B166" t="str">
            <v>HRA</v>
          </cell>
          <cell r="C166">
            <v>212792</v>
          </cell>
          <cell r="E166">
            <v>2851820.67</v>
          </cell>
          <cell r="F166">
            <v>235900.67</v>
          </cell>
          <cell r="G166">
            <v>2615920</v>
          </cell>
        </row>
        <row r="167">
          <cell r="A167">
            <v>81103</v>
          </cell>
          <cell r="B167" t="str">
            <v>PERSONAL ALLOW.</v>
          </cell>
          <cell r="C167">
            <v>34646.300000000003</v>
          </cell>
          <cell r="E167">
            <v>391041.06</v>
          </cell>
          <cell r="F167">
            <v>28281.34</v>
          </cell>
          <cell r="G167">
            <v>362759.72</v>
          </cell>
        </row>
        <row r="168">
          <cell r="A168">
            <v>81105</v>
          </cell>
          <cell r="B168" t="str">
            <v>SPECIAL ALLOW.</v>
          </cell>
          <cell r="C168">
            <v>19380</v>
          </cell>
          <cell r="E168">
            <v>376836</v>
          </cell>
          <cell r="F168">
            <v>31003</v>
          </cell>
          <cell r="G168">
            <v>345833</v>
          </cell>
        </row>
        <row r="169">
          <cell r="A169">
            <v>81107</v>
          </cell>
          <cell r="B169" t="str">
            <v>LOCATION ALLOW.</v>
          </cell>
          <cell r="C169">
            <v>19550</v>
          </cell>
          <cell r="D169">
            <v>19668</v>
          </cell>
          <cell r="E169">
            <v>170418.48</v>
          </cell>
          <cell r="F169">
            <v>25952</v>
          </cell>
          <cell r="G169">
            <v>144466.48000000001</v>
          </cell>
        </row>
        <row r="170">
          <cell r="A170">
            <v>81110</v>
          </cell>
          <cell r="B170" t="str">
            <v>CONVEYANCE ALLOW.</v>
          </cell>
          <cell r="C170">
            <v>58876.94</v>
          </cell>
          <cell r="E170">
            <v>786615.14</v>
          </cell>
          <cell r="F170">
            <v>62820</v>
          </cell>
          <cell r="G170">
            <v>723795.14</v>
          </cell>
        </row>
        <row r="171">
          <cell r="A171">
            <v>81111</v>
          </cell>
          <cell r="B171" t="str">
            <v>BONUS</v>
          </cell>
          <cell r="C171">
            <v>106395</v>
          </cell>
          <cell r="E171">
            <v>1429147.1</v>
          </cell>
          <cell r="F171">
            <v>119734</v>
          </cell>
          <cell r="G171">
            <v>1309413.1000000001</v>
          </cell>
        </row>
        <row r="172">
          <cell r="A172">
            <v>81113</v>
          </cell>
          <cell r="B172" t="str">
            <v>INCENTIVE-WM</v>
          </cell>
          <cell r="E172">
            <v>2727750</v>
          </cell>
          <cell r="F172">
            <v>551000</v>
          </cell>
          <cell r="G172">
            <v>2176750</v>
          </cell>
        </row>
        <row r="173">
          <cell r="A173">
            <v>81114</v>
          </cell>
          <cell r="B173" t="str">
            <v>LEAVE ENCASHMENT</v>
          </cell>
          <cell r="E173">
            <v>62969.36</v>
          </cell>
          <cell r="G173">
            <v>62969.36</v>
          </cell>
        </row>
        <row r="174">
          <cell r="A174">
            <v>81131</v>
          </cell>
          <cell r="B174" t="str">
            <v>SALARY COST COMMON</v>
          </cell>
          <cell r="C174">
            <v>2360611.69</v>
          </cell>
          <cell r="E174">
            <v>16999181.239999998</v>
          </cell>
          <cell r="F174">
            <v>1919883</v>
          </cell>
          <cell r="G174">
            <v>15079298.24</v>
          </cell>
        </row>
        <row r="175">
          <cell r="A175">
            <v>81201</v>
          </cell>
          <cell r="B175" t="str">
            <v>CONTRIBUTION TO PF</v>
          </cell>
          <cell r="C175">
            <v>106144.59</v>
          </cell>
          <cell r="D175">
            <v>35501.79</v>
          </cell>
          <cell r="E175">
            <v>717526.52</v>
          </cell>
          <cell r="F175">
            <v>190626.51</v>
          </cell>
          <cell r="G175">
            <v>526900.01</v>
          </cell>
        </row>
        <row r="176">
          <cell r="A176">
            <v>81202</v>
          </cell>
          <cell r="B176" t="str">
            <v>CONTRIBUTION TO FPF</v>
          </cell>
          <cell r="C176">
            <v>90914.7</v>
          </cell>
          <cell r="D176">
            <v>30490.76</v>
          </cell>
          <cell r="E176">
            <v>570186.09</v>
          </cell>
          <cell r="F176">
            <v>152780.26999999999</v>
          </cell>
          <cell r="G176">
            <v>417405.82</v>
          </cell>
        </row>
        <row r="177">
          <cell r="A177">
            <v>81203</v>
          </cell>
          <cell r="B177" t="str">
            <v>ADMIN CHARGES - PF</v>
          </cell>
          <cell r="C177">
            <v>18063.740000000002</v>
          </cell>
          <cell r="D177">
            <v>6049.31</v>
          </cell>
          <cell r="E177">
            <v>116786.61</v>
          </cell>
          <cell r="F177">
            <v>31479.78</v>
          </cell>
          <cell r="G177">
            <v>85306.83</v>
          </cell>
        </row>
        <row r="178">
          <cell r="A178">
            <v>81204</v>
          </cell>
          <cell r="B178" t="str">
            <v>CONTRIBUTION TO ESI</v>
          </cell>
          <cell r="E178">
            <v>1833</v>
          </cell>
          <cell r="F178">
            <v>1833</v>
          </cell>
        </row>
        <row r="179">
          <cell r="A179">
            <v>81205</v>
          </cell>
          <cell r="B179" t="str">
            <v>CONTRIBUTION TO EDLI</v>
          </cell>
          <cell r="C179">
            <v>5458.54</v>
          </cell>
          <cell r="D179">
            <v>1830.68</v>
          </cell>
          <cell r="E179">
            <v>33695.31</v>
          </cell>
          <cell r="F179">
            <v>7378.48</v>
          </cell>
          <cell r="G179">
            <v>26316.83</v>
          </cell>
        </row>
        <row r="180">
          <cell r="A180">
            <v>81206</v>
          </cell>
          <cell r="B180" t="str">
            <v>ADMIN CHARGES - EDLI</v>
          </cell>
          <cell r="C180">
            <v>109.16</v>
          </cell>
          <cell r="D180">
            <v>36.61</v>
          </cell>
          <cell r="E180">
            <v>647.27</v>
          </cell>
          <cell r="F180">
            <v>146.18</v>
          </cell>
          <cell r="G180">
            <v>501.09</v>
          </cell>
        </row>
        <row r="181">
          <cell r="A181">
            <v>81301</v>
          </cell>
          <cell r="B181" t="str">
            <v>UNIFORM WASH REIMB</v>
          </cell>
          <cell r="C181">
            <v>69516.22</v>
          </cell>
          <cell r="E181">
            <v>895122.97</v>
          </cell>
          <cell r="F181">
            <v>69900.009999999995</v>
          </cell>
          <cell r="G181">
            <v>825222.96</v>
          </cell>
        </row>
        <row r="182">
          <cell r="A182">
            <v>81303</v>
          </cell>
          <cell r="B182" t="str">
            <v>VEHICLE MAINT REIMB</v>
          </cell>
          <cell r="C182">
            <v>129628.81</v>
          </cell>
          <cell r="E182">
            <v>1622456.33</v>
          </cell>
          <cell r="F182">
            <v>119640</v>
          </cell>
          <cell r="G182">
            <v>1502816.33</v>
          </cell>
        </row>
        <row r="183">
          <cell r="A183">
            <v>81323</v>
          </cell>
          <cell r="B183" t="str">
            <v>L T A</v>
          </cell>
          <cell r="C183">
            <v>434695</v>
          </cell>
          <cell r="D183">
            <v>433628.25</v>
          </cell>
          <cell r="E183">
            <v>2114012.58</v>
          </cell>
          <cell r="F183">
            <v>1679317.58</v>
          </cell>
          <cell r="G183">
            <v>434695</v>
          </cell>
        </row>
        <row r="184">
          <cell r="A184">
            <v>81324</v>
          </cell>
          <cell r="B184" t="str">
            <v>SUPERANNUA PREM</v>
          </cell>
          <cell r="C184">
            <v>192498</v>
          </cell>
          <cell r="D184">
            <v>112612.5</v>
          </cell>
          <cell r="E184">
            <v>891295</v>
          </cell>
          <cell r="F184">
            <v>698797</v>
          </cell>
          <cell r="G184">
            <v>192498</v>
          </cell>
        </row>
        <row r="185">
          <cell r="A185">
            <v>81325</v>
          </cell>
          <cell r="B185" t="str">
            <v>MEDICAL EXP REIMB</v>
          </cell>
          <cell r="C185">
            <v>112905.75</v>
          </cell>
          <cell r="E185">
            <v>236515</v>
          </cell>
          <cell r="F185">
            <v>11474</v>
          </cell>
          <cell r="G185">
            <v>225041</v>
          </cell>
        </row>
        <row r="186">
          <cell r="A186">
            <v>81354</v>
          </cell>
          <cell r="B186" t="str">
            <v>CANTEEN  EXPENSES</v>
          </cell>
          <cell r="C186">
            <v>53144</v>
          </cell>
          <cell r="E186">
            <v>224374</v>
          </cell>
          <cell r="G186">
            <v>224374</v>
          </cell>
        </row>
        <row r="187">
          <cell r="A187">
            <v>81355</v>
          </cell>
          <cell r="B187" t="str">
            <v>MARRIAGE GIFTS</v>
          </cell>
          <cell r="E187">
            <v>4000</v>
          </cell>
          <cell r="F187">
            <v>1000</v>
          </cell>
          <cell r="G187">
            <v>3000</v>
          </cell>
        </row>
        <row r="188">
          <cell r="A188">
            <v>81359</v>
          </cell>
          <cell r="B188" t="str">
            <v>SAFETY EXPENSES</v>
          </cell>
          <cell r="C188">
            <v>2295</v>
          </cell>
          <cell r="E188">
            <v>2295</v>
          </cell>
          <cell r="G188">
            <v>2295</v>
          </cell>
        </row>
        <row r="189">
          <cell r="A189">
            <v>81360</v>
          </cell>
          <cell r="B189" t="str">
            <v>TRAINING/SEMINAR EXP</v>
          </cell>
          <cell r="C189">
            <v>20185</v>
          </cell>
          <cell r="E189">
            <v>98227</v>
          </cell>
          <cell r="F189">
            <v>8000</v>
          </cell>
          <cell r="G189">
            <v>90227</v>
          </cell>
        </row>
        <row r="190">
          <cell r="A190">
            <v>81361</v>
          </cell>
          <cell r="B190" t="str">
            <v>WELFARE/FOOD EXP-OTH</v>
          </cell>
          <cell r="E190">
            <v>160668</v>
          </cell>
          <cell r="F190">
            <v>59808</v>
          </cell>
          <cell r="G190">
            <v>100860</v>
          </cell>
        </row>
        <row r="191">
          <cell r="A191">
            <v>81501</v>
          </cell>
          <cell r="B191" t="str">
            <v>GRATUITY</v>
          </cell>
          <cell r="E191">
            <v>40737</v>
          </cell>
          <cell r="F191">
            <v>40737</v>
          </cell>
        </row>
        <row r="192">
          <cell r="A192">
            <v>82201</v>
          </cell>
          <cell r="B192" t="str">
            <v>CARRIAGE OUTWARD</v>
          </cell>
          <cell r="C192">
            <v>4898900.26</v>
          </cell>
          <cell r="D192">
            <v>1850401.56</v>
          </cell>
          <cell r="E192">
            <v>18012039.93</v>
          </cell>
          <cell r="F192">
            <v>13011040.42</v>
          </cell>
          <cell r="G192">
            <v>5000999.51</v>
          </cell>
        </row>
        <row r="193">
          <cell r="A193">
            <v>82220</v>
          </cell>
          <cell r="B193" t="str">
            <v>Carriage Outward-oth</v>
          </cell>
          <cell r="E193">
            <v>1025349.53</v>
          </cell>
          <cell r="F193">
            <v>203251.81</v>
          </cell>
          <cell r="G193">
            <v>822097.72</v>
          </cell>
        </row>
        <row r="194">
          <cell r="A194">
            <v>82301</v>
          </cell>
          <cell r="B194" t="str">
            <v>TURNOVER TAX</v>
          </cell>
          <cell r="C194">
            <v>3131639</v>
          </cell>
          <cell r="D194">
            <v>1647344</v>
          </cell>
          <cell r="E194">
            <v>99949757.430000007</v>
          </cell>
          <cell r="F194">
            <v>72752572.430000007</v>
          </cell>
          <cell r="G194">
            <v>27197185</v>
          </cell>
        </row>
        <row r="195">
          <cell r="A195">
            <v>82404</v>
          </cell>
          <cell r="B195" t="str">
            <v>SELLING EXPENSES</v>
          </cell>
          <cell r="C195">
            <v>1494616</v>
          </cell>
          <cell r="E195">
            <v>1744775</v>
          </cell>
          <cell r="F195">
            <v>50594.19</v>
          </cell>
          <cell r="G195">
            <v>1694180.81</v>
          </cell>
        </row>
        <row r="196">
          <cell r="A196">
            <v>82505</v>
          </cell>
          <cell r="B196" t="str">
            <v>TRANSIT INSURA EXP</v>
          </cell>
          <cell r="E196">
            <v>453613</v>
          </cell>
          <cell r="F196">
            <v>101351</v>
          </cell>
          <cell r="G196">
            <v>352262</v>
          </cell>
        </row>
        <row r="197">
          <cell r="A197">
            <v>82507</v>
          </cell>
          <cell r="B197" t="str">
            <v>EXP FOR EXPORTS</v>
          </cell>
          <cell r="C197">
            <v>232380</v>
          </cell>
          <cell r="D197">
            <v>187082</v>
          </cell>
          <cell r="E197">
            <v>1150618.3600000001</v>
          </cell>
          <cell r="F197">
            <v>817812.36</v>
          </cell>
          <cell r="G197">
            <v>332806</v>
          </cell>
        </row>
        <row r="198">
          <cell r="A198">
            <v>82520</v>
          </cell>
          <cell r="B198" t="str">
            <v>Transporterincentive</v>
          </cell>
          <cell r="D198">
            <v>414832</v>
          </cell>
          <cell r="E198">
            <v>414832</v>
          </cell>
          <cell r="F198">
            <v>414832</v>
          </cell>
        </row>
        <row r="199">
          <cell r="A199">
            <v>82525</v>
          </cell>
          <cell r="B199" t="str">
            <v>TRANS INS-ROCK PHOS</v>
          </cell>
          <cell r="E199">
            <v>456168</v>
          </cell>
          <cell r="F199">
            <v>52894</v>
          </cell>
          <cell r="G199">
            <v>403274</v>
          </cell>
        </row>
        <row r="200">
          <cell r="A200">
            <v>82603</v>
          </cell>
          <cell r="B200" t="str">
            <v>QUANTITY DISCOUNT</v>
          </cell>
          <cell r="C200">
            <v>4827900.76</v>
          </cell>
          <cell r="D200">
            <v>3504266.89</v>
          </cell>
          <cell r="E200">
            <v>37330079.509999998</v>
          </cell>
          <cell r="F200">
            <v>28791495.66</v>
          </cell>
          <cell r="G200">
            <v>8538583.8499999996</v>
          </cell>
        </row>
        <row r="201">
          <cell r="A201">
            <v>82702</v>
          </cell>
          <cell r="B201" t="str">
            <v>FREIGHT SUBSIDY</v>
          </cell>
          <cell r="C201">
            <v>233620.39</v>
          </cell>
          <cell r="D201">
            <v>540366.05000000005</v>
          </cell>
          <cell r="E201">
            <v>2849799.49</v>
          </cell>
          <cell r="F201">
            <v>4031576.29</v>
          </cell>
          <cell r="H201">
            <v>1181776.8</v>
          </cell>
        </row>
        <row r="202">
          <cell r="A202">
            <v>82703</v>
          </cell>
          <cell r="B202" t="str">
            <v>LIQUIDITY DAMAGES</v>
          </cell>
          <cell r="E202">
            <v>611131</v>
          </cell>
          <cell r="F202">
            <v>981910</v>
          </cell>
          <cell r="H202">
            <v>370779</v>
          </cell>
        </row>
        <row r="203">
          <cell r="A203">
            <v>83201</v>
          </cell>
          <cell r="B203" t="str">
            <v>RATES &amp; TAXES</v>
          </cell>
          <cell r="D203">
            <v>96779</v>
          </cell>
          <cell r="E203">
            <v>782137</v>
          </cell>
          <cell r="F203">
            <v>631992</v>
          </cell>
          <cell r="G203">
            <v>150145</v>
          </cell>
        </row>
        <row r="204">
          <cell r="A204">
            <v>83301</v>
          </cell>
          <cell r="B204" t="str">
            <v>INSURA-FIXED ASSET</v>
          </cell>
          <cell r="C204">
            <v>199717</v>
          </cell>
          <cell r="E204">
            <v>2741655</v>
          </cell>
          <cell r="G204">
            <v>2741655</v>
          </cell>
        </row>
        <row r="205">
          <cell r="A205">
            <v>83305</v>
          </cell>
          <cell r="B205" t="str">
            <v>INSURANCE-OTHERS</v>
          </cell>
          <cell r="E205">
            <v>5935</v>
          </cell>
          <cell r="G205">
            <v>5935</v>
          </cell>
        </row>
        <row r="206">
          <cell r="A206">
            <v>83401</v>
          </cell>
          <cell r="B206" t="str">
            <v>TRAV STAFF-INLAND</v>
          </cell>
          <cell r="C206">
            <v>27122</v>
          </cell>
          <cell r="D206">
            <v>722501</v>
          </cell>
          <cell r="E206">
            <v>1176041</v>
          </cell>
          <cell r="F206">
            <v>729887</v>
          </cell>
          <cell r="G206">
            <v>446154</v>
          </cell>
        </row>
        <row r="207">
          <cell r="A207">
            <v>83402</v>
          </cell>
          <cell r="B207" t="str">
            <v>TRAV STAFF-FOREN</v>
          </cell>
          <cell r="E207">
            <v>449429</v>
          </cell>
          <cell r="F207">
            <v>208503</v>
          </cell>
          <cell r="G207">
            <v>240926</v>
          </cell>
        </row>
        <row r="208">
          <cell r="A208">
            <v>83403</v>
          </cell>
          <cell r="B208" t="str">
            <v>TRAV OTHERS-INLAND</v>
          </cell>
          <cell r="E208">
            <v>13194</v>
          </cell>
          <cell r="F208">
            <v>1781</v>
          </cell>
          <cell r="G208">
            <v>11413</v>
          </cell>
        </row>
        <row r="209">
          <cell r="A209">
            <v>83404</v>
          </cell>
          <cell r="B209" t="str">
            <v>TRAV OTHER-FOREN</v>
          </cell>
          <cell r="E209">
            <v>3900</v>
          </cell>
          <cell r="G209">
            <v>3900</v>
          </cell>
        </row>
        <row r="210">
          <cell r="A210">
            <v>83405</v>
          </cell>
          <cell r="B210" t="str">
            <v>CONVEYANCE EXP</v>
          </cell>
          <cell r="C210">
            <v>570</v>
          </cell>
          <cell r="E210">
            <v>11894</v>
          </cell>
          <cell r="G210">
            <v>11894</v>
          </cell>
        </row>
        <row r="211">
          <cell r="A211">
            <v>83406</v>
          </cell>
          <cell r="B211" t="str">
            <v>VEHICLE EXP-FUEL</v>
          </cell>
          <cell r="E211">
            <v>2340</v>
          </cell>
          <cell r="F211">
            <v>473</v>
          </cell>
          <cell r="G211">
            <v>1867</v>
          </cell>
        </row>
        <row r="212">
          <cell r="A212">
            <v>83409</v>
          </cell>
          <cell r="B212" t="str">
            <v>VEHICLE HIRE CHGS</v>
          </cell>
          <cell r="C212">
            <v>45005</v>
          </cell>
          <cell r="E212">
            <v>126922</v>
          </cell>
          <cell r="G212">
            <v>126922</v>
          </cell>
        </row>
        <row r="213">
          <cell r="A213">
            <v>83603</v>
          </cell>
          <cell r="B213" t="str">
            <v>LOSS ON SALE RK PBLS</v>
          </cell>
          <cell r="E213">
            <v>4413432.87</v>
          </cell>
          <cell r="F213">
            <v>104427.88</v>
          </cell>
          <cell r="G213">
            <v>4309004.99</v>
          </cell>
        </row>
        <row r="214">
          <cell r="A214">
            <v>84201</v>
          </cell>
          <cell r="B214" t="str">
            <v>BOOKS-FOREIGN</v>
          </cell>
          <cell r="E214">
            <v>93478</v>
          </cell>
          <cell r="G214">
            <v>93478</v>
          </cell>
        </row>
        <row r="215">
          <cell r="A215">
            <v>84202</v>
          </cell>
          <cell r="B215" t="str">
            <v>BOOKS-OTHERS</v>
          </cell>
          <cell r="E215">
            <v>10000</v>
          </cell>
          <cell r="G215">
            <v>10000</v>
          </cell>
        </row>
        <row r="216">
          <cell r="A216">
            <v>84205</v>
          </cell>
          <cell r="B216" t="str">
            <v>COURIER CHARGES</v>
          </cell>
          <cell r="E216">
            <v>5467</v>
          </cell>
          <cell r="G216">
            <v>5467</v>
          </cell>
        </row>
        <row r="217">
          <cell r="A217">
            <v>84207</v>
          </cell>
          <cell r="B217" t="str">
            <v>TEL&amp;TELEX CHGS</v>
          </cell>
          <cell r="C217">
            <v>4037</v>
          </cell>
          <cell r="D217">
            <v>17641</v>
          </cell>
          <cell r="E217">
            <v>166744</v>
          </cell>
          <cell r="F217">
            <v>21551</v>
          </cell>
          <cell r="G217">
            <v>145193</v>
          </cell>
        </row>
        <row r="218">
          <cell r="A218">
            <v>84218</v>
          </cell>
          <cell r="B218" t="str">
            <v>LICENS &amp; REGIST  FEE</v>
          </cell>
          <cell r="E218">
            <v>16200</v>
          </cell>
          <cell r="G218">
            <v>16200</v>
          </cell>
        </row>
        <row r="219">
          <cell r="A219">
            <v>84226</v>
          </cell>
          <cell r="B219" t="str">
            <v>ELECTR CHGS (ADMIN.)</v>
          </cell>
          <cell r="F219">
            <v>830</v>
          </cell>
          <cell r="H219">
            <v>830</v>
          </cell>
        </row>
        <row r="220">
          <cell r="A220">
            <v>84231</v>
          </cell>
          <cell r="B220" t="str">
            <v>POOJA EXPENSES</v>
          </cell>
          <cell r="E220">
            <v>1027</v>
          </cell>
          <cell r="G220">
            <v>1027</v>
          </cell>
        </row>
        <row r="221">
          <cell r="A221">
            <v>84233</v>
          </cell>
          <cell r="B221" t="str">
            <v>PRNTG &amp; STATIONERY</v>
          </cell>
          <cell r="E221">
            <v>10928.4</v>
          </cell>
          <cell r="G221">
            <v>10928.4</v>
          </cell>
        </row>
        <row r="222">
          <cell r="A222">
            <v>84235</v>
          </cell>
          <cell r="B222" t="str">
            <v>XEROX &amp; BINDING CHGS</v>
          </cell>
          <cell r="C222">
            <v>4032</v>
          </cell>
          <cell r="E222">
            <v>49180</v>
          </cell>
          <cell r="F222">
            <v>7192</v>
          </cell>
          <cell r="G222">
            <v>41988</v>
          </cell>
        </row>
        <row r="223">
          <cell r="A223">
            <v>84236</v>
          </cell>
          <cell r="B223" t="str">
            <v>IT EXPENSE/IT STATY.</v>
          </cell>
          <cell r="E223">
            <v>155</v>
          </cell>
          <cell r="G223">
            <v>155</v>
          </cell>
        </row>
        <row r="224">
          <cell r="A224">
            <v>84237</v>
          </cell>
          <cell r="B224" t="str">
            <v>BUSINESS PRO. EXP</v>
          </cell>
          <cell r="E224">
            <v>64017</v>
          </cell>
          <cell r="F224">
            <v>1775</v>
          </cell>
          <cell r="G224">
            <v>62242</v>
          </cell>
        </row>
        <row r="225">
          <cell r="A225">
            <v>84239</v>
          </cell>
          <cell r="B225" t="str">
            <v>PROFESSIONAL FEES</v>
          </cell>
          <cell r="E225">
            <v>227781</v>
          </cell>
          <cell r="F225">
            <v>32500</v>
          </cell>
          <cell r="G225">
            <v>195281</v>
          </cell>
        </row>
        <row r="226">
          <cell r="A226">
            <v>84243</v>
          </cell>
          <cell r="B226" t="str">
            <v>TESTING CHARGES</v>
          </cell>
          <cell r="C226">
            <v>44444.29</v>
          </cell>
          <cell r="E226">
            <v>258455.29</v>
          </cell>
          <cell r="G226">
            <v>258455.29</v>
          </cell>
        </row>
        <row r="227">
          <cell r="A227">
            <v>84250</v>
          </cell>
          <cell r="B227" t="str">
            <v>COIN ADJUSTMENT</v>
          </cell>
          <cell r="C227">
            <v>271.67</v>
          </cell>
          <cell r="D227">
            <v>14.9</v>
          </cell>
          <cell r="E227">
            <v>394.36</v>
          </cell>
          <cell r="F227">
            <v>53.19</v>
          </cell>
          <cell r="G227">
            <v>341.17</v>
          </cell>
        </row>
        <row r="228">
          <cell r="A228">
            <v>84251</v>
          </cell>
          <cell r="B228" t="str">
            <v>S. BALANCE W/O</v>
          </cell>
          <cell r="C228">
            <v>4.0999999999999996</v>
          </cell>
          <cell r="D228">
            <v>9.08</v>
          </cell>
          <cell r="E228">
            <v>63.24</v>
          </cell>
          <cell r="F228">
            <v>141.62</v>
          </cell>
          <cell r="H228">
            <v>78.38</v>
          </cell>
        </row>
        <row r="229">
          <cell r="A229">
            <v>84252</v>
          </cell>
          <cell r="B229" t="str">
            <v>MISC EXP</v>
          </cell>
          <cell r="C229">
            <v>6399</v>
          </cell>
          <cell r="E229">
            <v>24525</v>
          </cell>
          <cell r="G229">
            <v>24525</v>
          </cell>
        </row>
        <row r="230">
          <cell r="A230">
            <v>84253</v>
          </cell>
          <cell r="B230" t="str">
            <v>ADVERTISEMENT-ADMIN</v>
          </cell>
          <cell r="E230">
            <v>13200</v>
          </cell>
          <cell r="G230">
            <v>13200</v>
          </cell>
        </row>
        <row r="231">
          <cell r="A231">
            <v>84256</v>
          </cell>
          <cell r="B231" t="str">
            <v>PRIOR PERIOD EXPS.</v>
          </cell>
          <cell r="C231">
            <v>414832</v>
          </cell>
          <cell r="E231">
            <v>414832</v>
          </cell>
          <cell r="G231">
            <v>414832</v>
          </cell>
        </row>
        <row r="232">
          <cell r="A232">
            <v>84260</v>
          </cell>
          <cell r="B232" t="str">
            <v>ADVERTISEMENT-PURCH.</v>
          </cell>
          <cell r="E232">
            <v>4733</v>
          </cell>
          <cell r="G232">
            <v>4733</v>
          </cell>
        </row>
        <row r="233">
          <cell r="A233">
            <v>84280</v>
          </cell>
          <cell r="B233" t="str">
            <v>ADMIN COST COMMON</v>
          </cell>
          <cell r="C233">
            <v>1812890.47</v>
          </cell>
          <cell r="E233">
            <v>11245617.67</v>
          </cell>
          <cell r="F233">
            <v>961338</v>
          </cell>
          <cell r="G233">
            <v>10284279.67</v>
          </cell>
        </row>
        <row r="234">
          <cell r="A234">
            <v>84407</v>
          </cell>
          <cell r="B234" t="str">
            <v>R&amp;M OTHERS</v>
          </cell>
          <cell r="C234">
            <v>1011</v>
          </cell>
          <cell r="E234">
            <v>409496</v>
          </cell>
          <cell r="F234">
            <v>1983</v>
          </cell>
          <cell r="G234">
            <v>407513</v>
          </cell>
        </row>
        <row r="235">
          <cell r="A235">
            <v>85803</v>
          </cell>
          <cell r="B235" t="str">
            <v>INT IMPORT L.C</v>
          </cell>
          <cell r="C235">
            <v>3307432</v>
          </cell>
          <cell r="D235">
            <v>2261508</v>
          </cell>
          <cell r="E235">
            <v>56098806.479999997</v>
          </cell>
          <cell r="F235">
            <v>43346651.899999999</v>
          </cell>
          <cell r="G235">
            <v>12752154.58</v>
          </cell>
        </row>
        <row r="236">
          <cell r="A236">
            <v>86101</v>
          </cell>
          <cell r="B236" t="str">
            <v>FORIGN.EXH DIFF-F&amp;S</v>
          </cell>
          <cell r="C236">
            <v>622450</v>
          </cell>
          <cell r="D236">
            <v>622450</v>
          </cell>
          <cell r="E236">
            <v>693211.5</v>
          </cell>
          <cell r="F236">
            <v>669894.02</v>
          </cell>
          <cell r="G236">
            <v>23317.48</v>
          </cell>
        </row>
        <row r="237">
          <cell r="A237">
            <v>86106</v>
          </cell>
          <cell r="B237" t="str">
            <v>FORWARD COVER(FOREX)</v>
          </cell>
          <cell r="C237">
            <v>1983741</v>
          </cell>
          <cell r="D237">
            <v>1376188</v>
          </cell>
          <cell r="E237">
            <v>44264672.25</v>
          </cell>
          <cell r="F237">
            <v>35241481</v>
          </cell>
          <cell r="G237">
            <v>9023191.25</v>
          </cell>
        </row>
        <row r="238">
          <cell r="A238">
            <v>86110</v>
          </cell>
          <cell r="B238" t="str">
            <v>EXCHANGE P/L EXPORTS</v>
          </cell>
          <cell r="E238">
            <v>2382762.1</v>
          </cell>
          <cell r="F238">
            <v>1392794.38</v>
          </cell>
          <cell r="G238">
            <v>989967.72</v>
          </cell>
        </row>
        <row r="239">
          <cell r="A239">
            <v>86201</v>
          </cell>
          <cell r="B239" t="str">
            <v>CHG-L.C. COMMITTM.</v>
          </cell>
          <cell r="E239">
            <v>15347</v>
          </cell>
          <cell r="G239">
            <v>15347</v>
          </cell>
        </row>
        <row r="240">
          <cell r="A240">
            <v>86202</v>
          </cell>
          <cell r="B240" t="str">
            <v>CHG-L.C. USANCE</v>
          </cell>
          <cell r="E240">
            <v>1428679.06</v>
          </cell>
          <cell r="G240">
            <v>1428679.06</v>
          </cell>
        </row>
        <row r="241">
          <cell r="A241">
            <v>86203</v>
          </cell>
          <cell r="B241" t="str">
            <v>CHG-L.C. AMEND</v>
          </cell>
          <cell r="E241">
            <v>18310</v>
          </cell>
          <cell r="G241">
            <v>18310</v>
          </cell>
        </row>
        <row r="242">
          <cell r="A242">
            <v>86301</v>
          </cell>
          <cell r="B242" t="str">
            <v>CHG-BANK</v>
          </cell>
          <cell r="C242">
            <v>2000</v>
          </cell>
          <cell r="E242">
            <v>407575.33</v>
          </cell>
          <cell r="F242">
            <v>216</v>
          </cell>
          <cell r="G242">
            <v>407359.33</v>
          </cell>
        </row>
        <row r="243">
          <cell r="A243">
            <v>86303</v>
          </cell>
          <cell r="B243" t="str">
            <v>CHG-DD COMMISSION</v>
          </cell>
          <cell r="E243">
            <v>30</v>
          </cell>
          <cell r="F243">
            <v>407</v>
          </cell>
          <cell r="H243">
            <v>377</v>
          </cell>
        </row>
        <row r="244">
          <cell r="A244">
            <v>91201</v>
          </cell>
          <cell r="B244" t="str">
            <v>DEP- BUILD-FACTORY</v>
          </cell>
          <cell r="C244">
            <v>245999.05</v>
          </cell>
          <cell r="E244">
            <v>2951988.66</v>
          </cell>
          <cell r="G244">
            <v>2951988.66</v>
          </cell>
        </row>
        <row r="245">
          <cell r="A245">
            <v>91202</v>
          </cell>
          <cell r="B245" t="str">
            <v>DEP- BUILD-FACTORY-L</v>
          </cell>
          <cell r="C245">
            <v>6650.57</v>
          </cell>
          <cell r="E245">
            <v>79806.789999999994</v>
          </cell>
          <cell r="G245">
            <v>79806.789999999994</v>
          </cell>
        </row>
        <row r="246">
          <cell r="A246">
            <v>91211</v>
          </cell>
          <cell r="B246" t="str">
            <v>DEP-BUILD-OFFICE</v>
          </cell>
          <cell r="C246">
            <v>439.93</v>
          </cell>
          <cell r="E246">
            <v>1759.73</v>
          </cell>
          <cell r="G246">
            <v>1759.73</v>
          </cell>
        </row>
        <row r="247">
          <cell r="A247">
            <v>91301</v>
          </cell>
          <cell r="B247" t="str">
            <v>DEP-P &amp; MACHINERY</v>
          </cell>
          <cell r="C247">
            <v>12545558.539999999</v>
          </cell>
          <cell r="E247">
            <v>124387748.5</v>
          </cell>
          <cell r="G247">
            <v>124387748.5</v>
          </cell>
        </row>
        <row r="248">
          <cell r="A248">
            <v>91302</v>
          </cell>
          <cell r="B248" t="str">
            <v>DEP-ELECT. INSTALL.</v>
          </cell>
          <cell r="C248">
            <v>70577.990000000005</v>
          </cell>
          <cell r="D248">
            <v>6737.21</v>
          </cell>
          <cell r="E248">
            <v>146379.95000000001</v>
          </cell>
          <cell r="F248">
            <v>6737.21</v>
          </cell>
          <cell r="G248">
            <v>139642.74</v>
          </cell>
        </row>
        <row r="249">
          <cell r="A249">
            <v>91361</v>
          </cell>
          <cell r="B249" t="str">
            <v>DEP-OFFICE EQUIP</v>
          </cell>
          <cell r="C249">
            <v>5306.81</v>
          </cell>
          <cell r="E249">
            <v>15434.17</v>
          </cell>
          <cell r="G249">
            <v>15434.17</v>
          </cell>
        </row>
        <row r="250">
          <cell r="A250">
            <v>91362</v>
          </cell>
          <cell r="B250" t="str">
            <v>DEP.-I.T. EQUIP</v>
          </cell>
          <cell r="C250">
            <v>4142.74</v>
          </cell>
          <cell r="E250">
            <v>46713.99</v>
          </cell>
          <cell r="G250">
            <v>46713.99</v>
          </cell>
        </row>
        <row r="251">
          <cell r="A251">
            <v>91401</v>
          </cell>
          <cell r="B251" t="str">
            <v>DEP-FURNITURE</v>
          </cell>
          <cell r="C251">
            <v>408.09</v>
          </cell>
          <cell r="E251">
            <v>3794.76</v>
          </cell>
          <cell r="G251">
            <v>3794.76</v>
          </cell>
        </row>
        <row r="252">
          <cell r="A252">
            <v>91501</v>
          </cell>
          <cell r="B252" t="str">
            <v>DEP-VEHICLES.</v>
          </cell>
          <cell r="C252">
            <v>3096.84</v>
          </cell>
          <cell r="E252">
            <v>37162.1</v>
          </cell>
          <cell r="G252">
            <v>37162.1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v 23.09"/>
      <sheetName val="classic 23.09"/>
      <sheetName val="Vlookup"/>
      <sheetName val="Input Sheet"/>
      <sheetName val="balance sheet P&amp;L"/>
      <sheetName val="Balance sheet groupings"/>
      <sheetName val="Profit &amp; Loss Grouping"/>
      <sheetName val="Consolidated Balancesheet &amp; P&amp;L"/>
      <sheetName val="restated"/>
      <sheetName val="Statement of changes in equity"/>
      <sheetName val="Conso Stat. changes in equity"/>
      <sheetName val="CFS "/>
      <sheetName val="Consolidated CFS"/>
      <sheetName val="FA working"/>
      <sheetName val="Asset history"/>
      <sheetName val="FA Final"/>
      <sheetName val="Consolidated FA"/>
      <sheetName val="Note 1A"/>
      <sheetName val="cwip (2)"/>
      <sheetName val="Consolidated CWIP"/>
      <sheetName val="Note 2A, 6A &amp; 18A"/>
      <sheetName val="Conso Note 2A, 6A &amp; 18A"/>
      <sheetName val="Share Capital"/>
      <sheetName val="Computation (2)"/>
      <sheetName val="Revise def tax"/>
      <sheetName val="Tax Reco Note 15"/>
      <sheetName val="Consolidated Share Capital"/>
      <sheetName val="Consolid Share Capital"/>
      <sheetName val="Consolid. Tax Reco"/>
      <sheetName val="Government grant note 30 &amp; 31"/>
      <sheetName val="Conso note 30 &amp;  31"/>
      <sheetName val="Related Party Discl Nt 32,33"/>
      <sheetName val="Consolidated Related Party"/>
      <sheetName val="New Dislosures"/>
      <sheetName val="ConRelated Party Discl Nt 32,33"/>
      <sheetName val="Financial Instruments Nt 44"/>
      <sheetName val="Consol Financial Instruments 44"/>
      <sheetName val="Leases &amp; EPS Nt 45 to 49"/>
      <sheetName val="Consolidated Leases &amp; EPS"/>
      <sheetName val="Rep terms LT "/>
      <sheetName val="Rep Terms ST"/>
      <sheetName val="LT Final"/>
      <sheetName val="Cfd Book Loss 115JB"/>
      <sheetName val="Cfd Loss Corporate tax"/>
      <sheetName val="Ratios"/>
      <sheetName val="Lease MAHAGENCO AS WHOLE"/>
      <sheetName val="MAHAGENCO AS WHOLE"/>
      <sheetName val="Sheet2"/>
    </sheetNames>
    <sheetDataSet>
      <sheetData sheetId="0"/>
      <sheetData sheetId="1"/>
      <sheetData sheetId="2">
        <row r="1030">
          <cell r="C1030">
            <v>450172488.04000002</v>
          </cell>
        </row>
      </sheetData>
      <sheetData sheetId="3">
        <row r="6">
          <cell r="R6">
            <v>1688.5052793700002</v>
          </cell>
        </row>
        <row r="7">
          <cell r="R7">
            <v>143.14205050000001</v>
          </cell>
        </row>
        <row r="8">
          <cell r="R8">
            <v>2037.7434004049999</v>
          </cell>
        </row>
        <row r="9">
          <cell r="R9">
            <v>1578.8209273259999</v>
          </cell>
        </row>
        <row r="10">
          <cell r="R10">
            <v>3831.0581395269996</v>
          </cell>
        </row>
        <row r="11">
          <cell r="R11">
            <v>1738.0315736959999</v>
          </cell>
        </row>
        <row r="12">
          <cell r="R12">
            <v>1420.4509139090001</v>
          </cell>
        </row>
        <row r="13">
          <cell r="R13">
            <v>54474.830527757003</v>
          </cell>
        </row>
        <row r="14">
          <cell r="R14">
            <v>0</v>
          </cell>
        </row>
        <row r="15">
          <cell r="R15">
            <v>1.9999999999999999E-6</v>
          </cell>
        </row>
        <row r="16">
          <cell r="R16">
            <v>844.83431689399993</v>
          </cell>
        </row>
        <row r="17">
          <cell r="R17">
            <v>86.800481304000002</v>
          </cell>
        </row>
        <row r="18">
          <cell r="R18">
            <v>56.418601990999996</v>
          </cell>
        </row>
        <row r="19">
          <cell r="R19">
            <v>101.163747564</v>
          </cell>
        </row>
        <row r="20">
          <cell r="R20">
            <v>86.980283909999997</v>
          </cell>
        </row>
        <row r="21">
          <cell r="R21">
            <v>0</v>
          </cell>
        </row>
        <row r="22">
          <cell r="R22">
            <v>0</v>
          </cell>
        </row>
        <row r="23">
          <cell r="R23">
            <v>56.304839141999999</v>
          </cell>
        </row>
        <row r="24">
          <cell r="R24">
            <v>4566.1381804000002</v>
          </cell>
        </row>
        <row r="25">
          <cell r="R25">
            <v>0</v>
          </cell>
        </row>
        <row r="26">
          <cell r="R26">
            <v>0</v>
          </cell>
        </row>
        <row r="27">
          <cell r="R27">
            <v>3.6909646</v>
          </cell>
        </row>
        <row r="28">
          <cell r="R28">
            <v>0.61987220899999995</v>
          </cell>
        </row>
        <row r="29">
          <cell r="R29">
            <v>8.1627478139999994</v>
          </cell>
        </row>
        <row r="30">
          <cell r="R30">
            <v>12.813927629</v>
          </cell>
        </row>
        <row r="31">
          <cell r="R31">
            <v>0.14868919999999999</v>
          </cell>
        </row>
        <row r="32">
          <cell r="R32">
            <v>401.00267121100001</v>
          </cell>
        </row>
        <row r="33">
          <cell r="R33">
            <v>3.3453912649999999</v>
          </cell>
        </row>
        <row r="34">
          <cell r="R34">
            <v>2.474240725</v>
          </cell>
        </row>
        <row r="35">
          <cell r="R35">
            <v>0.77516288099999997</v>
          </cell>
        </row>
        <row r="36">
          <cell r="R36">
            <v>2.8010901010000002</v>
          </cell>
        </row>
        <row r="37">
          <cell r="R37">
            <v>0.44461519999999999</v>
          </cell>
        </row>
        <row r="38">
          <cell r="R38">
            <v>0</v>
          </cell>
        </row>
        <row r="39">
          <cell r="R39">
            <v>65.484672329999995</v>
          </cell>
        </row>
        <row r="40">
          <cell r="R40">
            <v>1389.4576817059999</v>
          </cell>
        </row>
        <row r="41">
          <cell r="R41">
            <v>862.55874646799998</v>
          </cell>
        </row>
        <row r="42">
          <cell r="R42">
            <v>2306.2884858810003</v>
          </cell>
        </row>
        <row r="43">
          <cell r="R43">
            <v>919.91042525900002</v>
          </cell>
        </row>
        <row r="44">
          <cell r="R44">
            <v>468.08216623500005</v>
          </cell>
        </row>
        <row r="45">
          <cell r="R45">
            <v>32079.496102151003</v>
          </cell>
        </row>
        <row r="46">
          <cell r="R46">
            <v>0</v>
          </cell>
        </row>
        <row r="47">
          <cell r="R47">
            <v>0</v>
          </cell>
        </row>
        <row r="48">
          <cell r="R48">
            <v>545.66200671400009</v>
          </cell>
        </row>
        <row r="49">
          <cell r="R49">
            <v>34.189408188000002</v>
          </cell>
        </row>
        <row r="50">
          <cell r="R50">
            <v>37.970289285</v>
          </cell>
        </row>
        <row r="51">
          <cell r="R51">
            <v>60.656325121000002</v>
          </cell>
        </row>
        <row r="52">
          <cell r="R52">
            <v>65.637013776000003</v>
          </cell>
        </row>
        <row r="53">
          <cell r="R53">
            <v>0</v>
          </cell>
        </row>
        <row r="55">
          <cell r="R55">
            <v>53.831879380999993</v>
          </cell>
        </row>
        <row r="56">
          <cell r="D56">
            <v>12962</v>
          </cell>
          <cell r="R56">
            <v>1277.9622855</v>
          </cell>
        </row>
        <row r="57">
          <cell r="R57">
            <v>0</v>
          </cell>
        </row>
        <row r="58">
          <cell r="R58">
            <v>3.3202314100000003</v>
          </cell>
        </row>
        <row r="59">
          <cell r="R59">
            <v>0.53872428899999991</v>
          </cell>
        </row>
        <row r="60">
          <cell r="R60">
            <v>7.2531033389999999</v>
          </cell>
        </row>
        <row r="61">
          <cell r="R61">
            <v>9.0118232850000002</v>
          </cell>
        </row>
        <row r="62">
          <cell r="R62">
            <v>4.7483600000000001E-2</v>
          </cell>
        </row>
        <row r="63">
          <cell r="R63">
            <v>346.71464363299998</v>
          </cell>
        </row>
        <row r="64">
          <cell r="R64">
            <v>2.6458154329999997</v>
          </cell>
        </row>
        <row r="65">
          <cell r="R65">
            <v>2.2268172910000001</v>
          </cell>
        </row>
        <row r="66">
          <cell r="R66">
            <v>0.69740196100000007</v>
          </cell>
        </row>
        <row r="67">
          <cell r="R67">
            <v>2.5020758459999999</v>
          </cell>
        </row>
        <row r="68">
          <cell r="R68">
            <v>0.40015367999999996</v>
          </cell>
        </row>
        <row r="69">
          <cell r="M69">
            <v>0</v>
          </cell>
        </row>
        <row r="70">
          <cell r="R70">
            <v>60.055837828999998</v>
          </cell>
        </row>
        <row r="71">
          <cell r="R71">
            <v>0</v>
          </cell>
        </row>
        <row r="72">
          <cell r="R72">
            <v>0</v>
          </cell>
        </row>
        <row r="73">
          <cell r="R73">
            <v>1833.9005844999999</v>
          </cell>
        </row>
        <row r="74">
          <cell r="R74">
            <v>38.533076436999998</v>
          </cell>
        </row>
        <row r="75">
          <cell r="R75">
            <v>0</v>
          </cell>
        </row>
        <row r="76">
          <cell r="R76">
            <v>11.134706362000001</v>
          </cell>
        </row>
        <row r="77">
          <cell r="R77">
            <v>20.055489347999998</v>
          </cell>
        </row>
        <row r="78">
          <cell r="R78">
            <v>5292.1955257469999</v>
          </cell>
        </row>
        <row r="79">
          <cell r="R79">
            <v>0</v>
          </cell>
        </row>
        <row r="80">
          <cell r="R80">
            <v>0</v>
          </cell>
        </row>
        <row r="81">
          <cell r="R81">
            <v>2.8999999999999998E-8</v>
          </cell>
        </row>
        <row r="82">
          <cell r="R82">
            <v>2.0000000000000001E-9</v>
          </cell>
        </row>
        <row r="83">
          <cell r="R83">
            <v>3.8388345180000001</v>
          </cell>
        </row>
        <row r="85">
          <cell r="R85">
            <v>642.07934182600002</v>
          </cell>
        </row>
        <row r="87">
          <cell r="G87">
            <v>0.05</v>
          </cell>
          <cell r="R87">
            <v>0.05</v>
          </cell>
        </row>
        <row r="88">
          <cell r="G88">
            <v>0.05</v>
          </cell>
          <cell r="R88">
            <v>0.05</v>
          </cell>
        </row>
        <row r="89">
          <cell r="G89">
            <v>0.03</v>
          </cell>
          <cell r="R89">
            <v>0.03</v>
          </cell>
        </row>
        <row r="90">
          <cell r="G90">
            <v>0.03</v>
          </cell>
          <cell r="R90">
            <v>0.03</v>
          </cell>
        </row>
        <row r="91">
          <cell r="G91">
            <v>0</v>
          </cell>
          <cell r="R91">
            <v>0</v>
          </cell>
        </row>
        <row r="92">
          <cell r="R92">
            <v>0.52</v>
          </cell>
        </row>
        <row r="93">
          <cell r="G93">
            <v>0</v>
          </cell>
          <cell r="R93">
            <v>0</v>
          </cell>
        </row>
        <row r="94">
          <cell r="Q94">
            <v>1261.6128547180001</v>
          </cell>
        </row>
        <row r="95">
          <cell r="Q95">
            <v>126.97398563199999</v>
          </cell>
        </row>
        <row r="96">
          <cell r="Q96">
            <v>1.7326806370000001</v>
          </cell>
        </row>
        <row r="97">
          <cell r="Q97">
            <v>187.81503909200001</v>
          </cell>
        </row>
        <row r="98">
          <cell r="Q98">
            <v>0.506928987</v>
          </cell>
        </row>
        <row r="99">
          <cell r="Q99">
            <v>0</v>
          </cell>
        </row>
        <row r="100">
          <cell r="Q100">
            <v>0</v>
          </cell>
        </row>
        <row r="101">
          <cell r="Q101">
            <v>112.425922883</v>
          </cell>
        </row>
        <row r="102">
          <cell r="Q102">
            <v>263.54691082900001</v>
          </cell>
        </row>
        <row r="103">
          <cell r="Q103">
            <v>422.164722977</v>
          </cell>
        </row>
        <row r="104">
          <cell r="Q104">
            <v>3.8018718709999999</v>
          </cell>
        </row>
        <row r="105">
          <cell r="Q105">
            <v>0.11699324999999999</v>
          </cell>
        </row>
        <row r="106">
          <cell r="Q106">
            <v>0</v>
          </cell>
        </row>
        <row r="107">
          <cell r="Q107">
            <v>0</v>
          </cell>
        </row>
        <row r="108">
          <cell r="Q108">
            <v>0</v>
          </cell>
        </row>
        <row r="109">
          <cell r="Q109">
            <v>0</v>
          </cell>
        </row>
        <row r="110">
          <cell r="Q110">
            <v>58.238826440999993</v>
          </cell>
        </row>
        <row r="111">
          <cell r="Q111">
            <v>0</v>
          </cell>
        </row>
        <row r="112">
          <cell r="Q112">
            <v>0</v>
          </cell>
        </row>
        <row r="113">
          <cell r="Q113">
            <v>0</v>
          </cell>
        </row>
        <row r="114">
          <cell r="Q114">
            <v>0</v>
          </cell>
        </row>
        <row r="115">
          <cell r="Q115">
            <v>0</v>
          </cell>
        </row>
        <row r="116">
          <cell r="Q116">
            <v>0</v>
          </cell>
        </row>
        <row r="117">
          <cell r="Q117">
            <v>0.53748294400000007</v>
          </cell>
        </row>
        <row r="118">
          <cell r="Q118">
            <v>82.905420118999999</v>
          </cell>
        </row>
        <row r="119">
          <cell r="Q119">
            <v>0</v>
          </cell>
        </row>
        <row r="120">
          <cell r="Q120">
            <v>6.0891865279999999</v>
          </cell>
        </row>
        <row r="121">
          <cell r="Q121">
            <v>5.9132690000000005E-3</v>
          </cell>
        </row>
        <row r="122">
          <cell r="Q122">
            <v>4.4503587270000002</v>
          </cell>
        </row>
        <row r="123">
          <cell r="Q123">
            <v>872.14319047800007</v>
          </cell>
        </row>
        <row r="124">
          <cell r="Q124">
            <v>0</v>
          </cell>
        </row>
        <row r="125">
          <cell r="Q125">
            <v>0</v>
          </cell>
        </row>
        <row r="126">
          <cell r="Q126">
            <v>29.542025601999999</v>
          </cell>
        </row>
        <row r="127">
          <cell r="Q127">
            <v>1.36395037</v>
          </cell>
        </row>
        <row r="128">
          <cell r="Q128">
            <v>0</v>
          </cell>
        </row>
        <row r="129">
          <cell r="Q129">
            <v>0</v>
          </cell>
        </row>
        <row r="130">
          <cell r="Q130">
            <v>0</v>
          </cell>
        </row>
        <row r="131">
          <cell r="Q131">
            <v>0</v>
          </cell>
        </row>
        <row r="132">
          <cell r="Q132">
            <v>0</v>
          </cell>
        </row>
        <row r="133">
          <cell r="Q133">
            <v>0</v>
          </cell>
        </row>
        <row r="134">
          <cell r="Q134">
            <v>9.9999999999999995E-8</v>
          </cell>
        </row>
        <row r="135">
          <cell r="Q135">
            <v>1.2676174579999999</v>
          </cell>
        </row>
        <row r="136">
          <cell r="Q136">
            <v>0</v>
          </cell>
        </row>
        <row r="137">
          <cell r="Q137">
            <v>0</v>
          </cell>
        </row>
        <row r="138">
          <cell r="Q138">
            <v>0</v>
          </cell>
        </row>
        <row r="139">
          <cell r="Q139">
            <v>0</v>
          </cell>
        </row>
        <row r="140">
          <cell r="Q140">
            <v>0</v>
          </cell>
        </row>
        <row r="141">
          <cell r="Q141">
            <v>0</v>
          </cell>
        </row>
        <row r="142">
          <cell r="Q142">
            <v>0</v>
          </cell>
        </row>
        <row r="143">
          <cell r="Q143">
            <v>-3.8269318969999997</v>
          </cell>
        </row>
        <row r="144">
          <cell r="Q144">
            <v>3.6890032439999998</v>
          </cell>
        </row>
        <row r="145">
          <cell r="Q145">
            <v>4.3000000000000001E-8</v>
          </cell>
        </row>
        <row r="146">
          <cell r="Q146">
            <v>-4.3000000000000001E-8</v>
          </cell>
        </row>
        <row r="147">
          <cell r="Q147">
            <v>-1.0891277500000001</v>
          </cell>
        </row>
        <row r="148">
          <cell r="Q148">
            <v>-8.6738153269999998</v>
          </cell>
        </row>
        <row r="149">
          <cell r="Q149">
            <v>0</v>
          </cell>
        </row>
        <row r="150">
          <cell r="Q150">
            <v>0</v>
          </cell>
        </row>
        <row r="151">
          <cell r="Q151">
            <v>0</v>
          </cell>
        </row>
        <row r="152">
          <cell r="Q152">
            <v>0</v>
          </cell>
        </row>
        <row r="153">
          <cell r="Q153">
            <v>5.8367999999999994E-5</v>
          </cell>
        </row>
        <row r="154">
          <cell r="Q154">
            <v>0.24888187000000001</v>
          </cell>
        </row>
        <row r="155">
          <cell r="Q155">
            <v>-5.9287999999999999E-5</v>
          </cell>
        </row>
        <row r="156">
          <cell r="Q156">
            <v>-9.3992329999999999E-3</v>
          </cell>
        </row>
        <row r="157">
          <cell r="Q157">
            <v>0</v>
          </cell>
        </row>
        <row r="158">
          <cell r="Q158">
            <v>0</v>
          </cell>
        </row>
        <row r="159">
          <cell r="Q159">
            <v>29.491588554000003</v>
          </cell>
        </row>
        <row r="160">
          <cell r="Q160">
            <v>-6.8331231810000004</v>
          </cell>
        </row>
        <row r="161">
          <cell r="Q161">
            <v>0</v>
          </cell>
        </row>
        <row r="162">
          <cell r="Q162">
            <v>0</v>
          </cell>
        </row>
        <row r="163">
          <cell r="Q163">
            <v>0</v>
          </cell>
        </row>
        <row r="164">
          <cell r="Q164">
            <v>0</v>
          </cell>
        </row>
        <row r="165">
          <cell r="Q165">
            <v>0</v>
          </cell>
        </row>
        <row r="166">
          <cell r="Q166">
            <v>0</v>
          </cell>
        </row>
        <row r="167">
          <cell r="Q167">
            <v>0</v>
          </cell>
        </row>
        <row r="168">
          <cell r="Q168">
            <v>0</v>
          </cell>
        </row>
        <row r="169">
          <cell r="Q169">
            <v>0</v>
          </cell>
        </row>
        <row r="170">
          <cell r="Q170">
            <v>0</v>
          </cell>
        </row>
        <row r="171">
          <cell r="Q171">
            <v>0</v>
          </cell>
        </row>
        <row r="172">
          <cell r="Q172">
            <v>0</v>
          </cell>
        </row>
        <row r="173">
          <cell r="Q173">
            <v>0</v>
          </cell>
        </row>
        <row r="174">
          <cell r="Q174">
            <v>0</v>
          </cell>
        </row>
        <row r="175">
          <cell r="Q175">
            <v>0</v>
          </cell>
        </row>
        <row r="176">
          <cell r="Q176">
            <v>0</v>
          </cell>
        </row>
        <row r="177">
          <cell r="Q177">
            <v>0</v>
          </cell>
        </row>
        <row r="178">
          <cell r="Q178">
            <v>0</v>
          </cell>
        </row>
        <row r="179">
          <cell r="Q179">
            <v>0</v>
          </cell>
        </row>
        <row r="180">
          <cell r="Q180">
            <v>6.8161999999999997E-4</v>
          </cell>
        </row>
        <row r="181">
          <cell r="E181" t="str">
            <v>Main-SBI9E-8427-WM</v>
          </cell>
          <cell r="Q181">
            <v>0</v>
          </cell>
        </row>
        <row r="182">
          <cell r="E182" t="str">
            <v>Op-SBI9E-8427-WM</v>
          </cell>
          <cell r="Q182">
            <v>1.060801968</v>
          </cell>
        </row>
        <row r="183">
          <cell r="E183" t="str">
            <v>Main-SBI9F-2465-WM</v>
          </cell>
          <cell r="Q183">
            <v>0</v>
          </cell>
        </row>
        <row r="184">
          <cell r="E184" t="str">
            <v>Op-SBI9F-2465-WM</v>
          </cell>
          <cell r="Q184">
            <v>13.113797651</v>
          </cell>
        </row>
        <row r="185">
          <cell r="Q185">
            <v>0</v>
          </cell>
        </row>
        <row r="186">
          <cell r="Q186">
            <v>0</v>
          </cell>
        </row>
        <row r="187">
          <cell r="Q187">
            <v>-0.92</v>
          </cell>
        </row>
        <row r="188">
          <cell r="Q188">
            <v>1.3395439630000001</v>
          </cell>
        </row>
        <row r="189">
          <cell r="E189" t="str">
            <v>Main-SBI9H-1663-WM_freight pyt to East Coast Rly</v>
          </cell>
          <cell r="Q189">
            <v>0</v>
          </cell>
        </row>
        <row r="190">
          <cell r="E190" t="str">
            <v>Op-SBI9H-1663-WM_freight pyt to East Co</v>
          </cell>
          <cell r="Q190">
            <v>-1.2201471E-2</v>
          </cell>
        </row>
        <row r="191">
          <cell r="E191" t="str">
            <v>Op-SBI9I-1081-WM- e-freight payment to</v>
          </cell>
          <cell r="Q191">
            <v>-0.48711518200000004</v>
          </cell>
        </row>
        <row r="192">
          <cell r="Q192">
            <v>-3.1310970000000002E-3</v>
          </cell>
        </row>
        <row r="193">
          <cell r="Q193">
            <v>0.10419128699999999</v>
          </cell>
        </row>
        <row r="194">
          <cell r="Q194">
            <v>0</v>
          </cell>
        </row>
        <row r="195">
          <cell r="Q195">
            <v>0</v>
          </cell>
        </row>
        <row r="196">
          <cell r="Q196">
            <v>0</v>
          </cell>
        </row>
        <row r="197">
          <cell r="Q197">
            <v>0</v>
          </cell>
        </row>
        <row r="198">
          <cell r="Q198">
            <v>6.3761999999999998E-4</v>
          </cell>
        </row>
        <row r="199">
          <cell r="Q199">
            <v>3.0898459999999998E-3</v>
          </cell>
        </row>
        <row r="200">
          <cell r="Q200">
            <v>7.563828</v>
          </cell>
        </row>
        <row r="201">
          <cell r="Q201">
            <v>0</v>
          </cell>
        </row>
        <row r="202">
          <cell r="Q202">
            <v>0</v>
          </cell>
        </row>
        <row r="203">
          <cell r="Q203">
            <v>9.1887000000000013E-4</v>
          </cell>
        </row>
        <row r="204">
          <cell r="Q204">
            <v>0</v>
          </cell>
        </row>
        <row r="205">
          <cell r="Q205">
            <v>0</v>
          </cell>
        </row>
        <row r="206">
          <cell r="Q206">
            <v>1.0347500000000001E-3</v>
          </cell>
        </row>
        <row r="207">
          <cell r="Q207">
            <v>4.226067E-3</v>
          </cell>
        </row>
        <row r="208">
          <cell r="Q208">
            <v>7.0428799999999996E-4</v>
          </cell>
        </row>
        <row r="209">
          <cell r="Q209">
            <v>1.5947979999999999E-3</v>
          </cell>
        </row>
        <row r="210">
          <cell r="Q210">
            <v>2.5719880000000003E-3</v>
          </cell>
        </row>
        <row r="211">
          <cell r="Q211">
            <v>0</v>
          </cell>
        </row>
        <row r="212">
          <cell r="Q212">
            <v>0</v>
          </cell>
        </row>
        <row r="213">
          <cell r="Q213">
            <v>0</v>
          </cell>
        </row>
        <row r="214">
          <cell r="Q214">
            <v>0</v>
          </cell>
        </row>
        <row r="215">
          <cell r="Q215">
            <v>0</v>
          </cell>
        </row>
        <row r="216">
          <cell r="Q216">
            <v>0</v>
          </cell>
        </row>
        <row r="217">
          <cell r="Q217">
            <v>0.27321061699999999</v>
          </cell>
        </row>
        <row r="218">
          <cell r="Q218">
            <v>-0.21484057999999998</v>
          </cell>
        </row>
        <row r="219">
          <cell r="Q219">
            <v>5.0000000000000001E-4</v>
          </cell>
        </row>
        <row r="220">
          <cell r="Q220">
            <v>-4.9991E-4</v>
          </cell>
        </row>
        <row r="221">
          <cell r="Q221">
            <v>5.0005799999999995E-4</v>
          </cell>
        </row>
        <row r="222">
          <cell r="Q222">
            <v>-5.0005799999999995E-4</v>
          </cell>
        </row>
        <row r="223">
          <cell r="Q223">
            <v>9.5619376000000006E-2</v>
          </cell>
        </row>
        <row r="224">
          <cell r="Q224">
            <v>1.158974779</v>
          </cell>
        </row>
        <row r="225">
          <cell r="Q225">
            <v>0</v>
          </cell>
        </row>
        <row r="226">
          <cell r="Q226">
            <v>0</v>
          </cell>
        </row>
        <row r="227">
          <cell r="Q227">
            <v>1.5594479999999999E-2</v>
          </cell>
        </row>
        <row r="228">
          <cell r="Q228">
            <v>6.9242000000000001E-3</v>
          </cell>
        </row>
        <row r="229">
          <cell r="Q229">
            <v>1.83873E-3</v>
          </cell>
        </row>
        <row r="230">
          <cell r="Q230">
            <v>0</v>
          </cell>
        </row>
        <row r="231">
          <cell r="Q231">
            <v>0</v>
          </cell>
        </row>
        <row r="232">
          <cell r="Q232">
            <v>0</v>
          </cell>
        </row>
        <row r="233">
          <cell r="Q233">
            <v>0</v>
          </cell>
        </row>
        <row r="234">
          <cell r="Q234">
            <v>4.5538999999999996E-3</v>
          </cell>
        </row>
        <row r="235">
          <cell r="Q235">
            <v>0</v>
          </cell>
        </row>
        <row r="236">
          <cell r="Q236">
            <v>0.14689047399999999</v>
          </cell>
        </row>
        <row r="237">
          <cell r="Q237">
            <v>0</v>
          </cell>
        </row>
        <row r="238">
          <cell r="Q238">
            <v>0</v>
          </cell>
        </row>
        <row r="239">
          <cell r="Q239">
            <v>0</v>
          </cell>
        </row>
        <row r="240">
          <cell r="Q240">
            <v>0</v>
          </cell>
        </row>
        <row r="241">
          <cell r="Q241">
            <v>0</v>
          </cell>
        </row>
        <row r="242">
          <cell r="Q242">
            <v>0</v>
          </cell>
        </row>
        <row r="243">
          <cell r="Q243">
            <v>7.3905612329999997</v>
          </cell>
        </row>
        <row r="244">
          <cell r="Q244">
            <v>-7.0280255</v>
          </cell>
        </row>
        <row r="245">
          <cell r="Q245">
            <v>0</v>
          </cell>
        </row>
        <row r="246">
          <cell r="Q246">
            <v>0</v>
          </cell>
        </row>
        <row r="247">
          <cell r="Q247">
            <v>0</v>
          </cell>
        </row>
        <row r="248">
          <cell r="Q248">
            <v>1.8479864559999999</v>
          </cell>
        </row>
        <row r="249">
          <cell r="Q249">
            <v>-0.81001449999999997</v>
          </cell>
        </row>
        <row r="250">
          <cell r="Q250">
            <v>0</v>
          </cell>
        </row>
        <row r="251">
          <cell r="Q251">
            <v>0</v>
          </cell>
        </row>
        <row r="252">
          <cell r="Q252">
            <v>5.7595250000000001E-2</v>
          </cell>
        </row>
        <row r="253">
          <cell r="Q253">
            <v>0</v>
          </cell>
        </row>
        <row r="254">
          <cell r="Q254">
            <v>6.1269999999999999E-4</v>
          </cell>
        </row>
        <row r="255">
          <cell r="Q255">
            <v>0</v>
          </cell>
        </row>
        <row r="256">
          <cell r="Q256">
            <v>0</v>
          </cell>
        </row>
        <row r="257">
          <cell r="Q257">
            <v>0</v>
          </cell>
        </row>
        <row r="258">
          <cell r="Q258">
            <v>0</v>
          </cell>
        </row>
        <row r="259">
          <cell r="Q259">
            <v>0</v>
          </cell>
        </row>
        <row r="260">
          <cell r="Q260">
            <v>0</v>
          </cell>
        </row>
        <row r="261">
          <cell r="Q261">
            <v>2.6029999999999998E-4</v>
          </cell>
        </row>
        <row r="262">
          <cell r="Q262">
            <v>2.653662894</v>
          </cell>
        </row>
        <row r="263">
          <cell r="Q263">
            <v>-2.479331728</v>
          </cell>
        </row>
        <row r="264">
          <cell r="Q264">
            <v>0</v>
          </cell>
        </row>
        <row r="265">
          <cell r="Q265">
            <v>0</v>
          </cell>
        </row>
        <row r="266">
          <cell r="Q266">
            <v>0</v>
          </cell>
        </row>
        <row r="267">
          <cell r="Q267">
            <v>2.0536199999999999E-3</v>
          </cell>
        </row>
        <row r="268">
          <cell r="Q268">
            <v>1.06E-3</v>
          </cell>
        </row>
        <row r="269">
          <cell r="Q269">
            <v>1.7669275550000001</v>
          </cell>
        </row>
        <row r="270">
          <cell r="Q270">
            <v>-0.93803700000000001</v>
          </cell>
        </row>
        <row r="271">
          <cell r="Q271">
            <v>0</v>
          </cell>
        </row>
        <row r="272">
          <cell r="Q272">
            <v>0</v>
          </cell>
        </row>
        <row r="273">
          <cell r="Q273">
            <v>3.1527632E-2</v>
          </cell>
        </row>
        <row r="274">
          <cell r="Q274">
            <v>0</v>
          </cell>
        </row>
        <row r="275">
          <cell r="Q275">
            <v>1.152973E-2</v>
          </cell>
        </row>
        <row r="276">
          <cell r="Q276">
            <v>0</v>
          </cell>
        </row>
        <row r="277">
          <cell r="Q277">
            <v>2.153E-4</v>
          </cell>
        </row>
        <row r="278">
          <cell r="Q278">
            <v>0</v>
          </cell>
        </row>
        <row r="279">
          <cell r="Q279">
            <v>0</v>
          </cell>
        </row>
        <row r="280">
          <cell r="E280" t="str">
            <v>Main-BOI2C-0573-KDTPS</v>
          </cell>
          <cell r="Q280">
            <v>1.415722938</v>
          </cell>
        </row>
        <row r="281">
          <cell r="Q281">
            <v>-0.59972289999999995</v>
          </cell>
        </row>
        <row r="282">
          <cell r="Q282">
            <v>0</v>
          </cell>
        </row>
        <row r="283">
          <cell r="Q283">
            <v>0</v>
          </cell>
        </row>
        <row r="284">
          <cell r="Q284">
            <v>0</v>
          </cell>
        </row>
        <row r="285">
          <cell r="Q285">
            <v>0</v>
          </cell>
        </row>
        <row r="286">
          <cell r="Q286">
            <v>1.8210000000000001E-4</v>
          </cell>
        </row>
        <row r="287">
          <cell r="Q287">
            <v>0</v>
          </cell>
        </row>
        <row r="288">
          <cell r="Q288">
            <v>0</v>
          </cell>
        </row>
        <row r="289">
          <cell r="Q289">
            <v>0</v>
          </cell>
        </row>
        <row r="290">
          <cell r="Q290">
            <v>0</v>
          </cell>
        </row>
        <row r="291">
          <cell r="Q291">
            <v>0.10087280999999999</v>
          </cell>
        </row>
        <row r="292">
          <cell r="Q292">
            <v>-8.9879999999999995E-4</v>
          </cell>
        </row>
        <row r="293">
          <cell r="Q293">
            <v>0</v>
          </cell>
        </row>
        <row r="294">
          <cell r="Q294">
            <v>0</v>
          </cell>
        </row>
        <row r="295">
          <cell r="Q295">
            <v>0</v>
          </cell>
        </row>
        <row r="296">
          <cell r="Q296">
            <v>0</v>
          </cell>
        </row>
        <row r="297">
          <cell r="Q297">
            <v>3.1999999999999999E-6</v>
          </cell>
        </row>
        <row r="298">
          <cell r="Q298">
            <v>0</v>
          </cell>
        </row>
        <row r="299">
          <cell r="Q299">
            <v>0</v>
          </cell>
        </row>
        <row r="300">
          <cell r="Q300">
            <v>0.15905152</v>
          </cell>
        </row>
        <row r="301">
          <cell r="Q301">
            <v>-5.6398299999999998E-2</v>
          </cell>
        </row>
        <row r="302">
          <cell r="Q302">
            <v>1.7892014000000001E-2</v>
          </cell>
        </row>
        <row r="303">
          <cell r="Q303">
            <v>-1.7892114000000001E-2</v>
          </cell>
        </row>
        <row r="304">
          <cell r="Q304">
            <v>0</v>
          </cell>
        </row>
        <row r="305">
          <cell r="Q305">
            <v>0</v>
          </cell>
        </row>
        <row r="306">
          <cell r="Q306">
            <v>0</v>
          </cell>
        </row>
        <row r="307">
          <cell r="Q307">
            <v>0</v>
          </cell>
        </row>
        <row r="308">
          <cell r="Q308">
            <v>0</v>
          </cell>
        </row>
        <row r="309">
          <cell r="Q309">
            <v>0</v>
          </cell>
        </row>
        <row r="310">
          <cell r="Q310">
            <v>0</v>
          </cell>
        </row>
        <row r="311">
          <cell r="Q311">
            <v>0</v>
          </cell>
        </row>
        <row r="312">
          <cell r="Q312">
            <v>1.410177408</v>
          </cell>
        </row>
        <row r="313">
          <cell r="Q313">
            <v>-2.284E-3</v>
          </cell>
        </row>
        <row r="314">
          <cell r="Q314">
            <v>0.97394672599999998</v>
          </cell>
        </row>
        <row r="315">
          <cell r="Q315">
            <v>-4.09244E-2</v>
          </cell>
        </row>
        <row r="316">
          <cell r="Q316">
            <v>3.3550000000000002E-4</v>
          </cell>
        </row>
        <row r="317">
          <cell r="Q317">
            <v>11.4538449</v>
          </cell>
        </row>
        <row r="318">
          <cell r="Q318">
            <v>-11.443501353</v>
          </cell>
        </row>
        <row r="319">
          <cell r="Q319">
            <v>0</v>
          </cell>
        </row>
        <row r="320">
          <cell r="Q320">
            <v>0</v>
          </cell>
        </row>
        <row r="321">
          <cell r="Q321">
            <v>0</v>
          </cell>
        </row>
        <row r="322">
          <cell r="Q322">
            <v>0</v>
          </cell>
        </row>
        <row r="323">
          <cell r="Q323">
            <v>0</v>
          </cell>
        </row>
        <row r="324">
          <cell r="Q324">
            <v>3.5299000000000002E-5</v>
          </cell>
        </row>
        <row r="325">
          <cell r="Q325">
            <v>-3.54E-5</v>
          </cell>
        </row>
        <row r="326">
          <cell r="Q326">
            <v>4.6789999999999999E-4</v>
          </cell>
        </row>
        <row r="327">
          <cell r="Q327">
            <v>-4.6789999999999999E-4</v>
          </cell>
        </row>
        <row r="328">
          <cell r="Q328">
            <v>2.8840000000000002E-4</v>
          </cell>
        </row>
        <row r="329">
          <cell r="Q329">
            <v>8.6192099999999994E-2</v>
          </cell>
        </row>
        <row r="330">
          <cell r="Q330">
            <v>-5.6680099999999997E-2</v>
          </cell>
        </row>
        <row r="331">
          <cell r="Q331">
            <v>0</v>
          </cell>
        </row>
        <row r="332">
          <cell r="Q332">
            <v>0</v>
          </cell>
        </row>
        <row r="333">
          <cell r="Q333">
            <v>6.8220000000000008E-5</v>
          </cell>
        </row>
        <row r="334">
          <cell r="Q334">
            <v>5.9241868999999996E-2</v>
          </cell>
        </row>
        <row r="335">
          <cell r="Q335">
            <v>0</v>
          </cell>
        </row>
        <row r="336">
          <cell r="Q336">
            <v>0</v>
          </cell>
        </row>
        <row r="337">
          <cell r="Q337">
            <v>0</v>
          </cell>
        </row>
        <row r="338">
          <cell r="Q338">
            <v>1.3756E-3</v>
          </cell>
        </row>
        <row r="339">
          <cell r="Q339">
            <v>0.771539156</v>
          </cell>
        </row>
        <row r="340">
          <cell r="Q340">
            <v>-0.723049795</v>
          </cell>
        </row>
        <row r="341">
          <cell r="Q341">
            <v>0</v>
          </cell>
        </row>
        <row r="342">
          <cell r="Q342">
            <v>0</v>
          </cell>
        </row>
        <row r="343">
          <cell r="Q343">
            <v>0</v>
          </cell>
        </row>
        <row r="344">
          <cell r="Q344">
            <v>0</v>
          </cell>
        </row>
        <row r="345">
          <cell r="Q345">
            <v>2.0549419999999997E-3</v>
          </cell>
        </row>
        <row r="346">
          <cell r="Q346">
            <v>0</v>
          </cell>
        </row>
        <row r="347">
          <cell r="Q347">
            <v>2.4879999999999998E-4</v>
          </cell>
        </row>
        <row r="348">
          <cell r="Q348">
            <v>2.9350999999999999E-3</v>
          </cell>
        </row>
        <row r="349">
          <cell r="Q349">
            <v>0</v>
          </cell>
        </row>
        <row r="350">
          <cell r="Q350">
            <v>0</v>
          </cell>
        </row>
        <row r="351">
          <cell r="Q351">
            <v>0</v>
          </cell>
        </row>
        <row r="352">
          <cell r="Q352">
            <v>0</v>
          </cell>
        </row>
        <row r="353">
          <cell r="Q353">
            <v>0</v>
          </cell>
        </row>
        <row r="354">
          <cell r="Q354">
            <v>2.5521518999999999E-2</v>
          </cell>
        </row>
        <row r="355">
          <cell r="Q355">
            <v>0</v>
          </cell>
        </row>
        <row r="356">
          <cell r="Q356">
            <v>5.2879999999999995E-4</v>
          </cell>
        </row>
        <row r="357">
          <cell r="Q357">
            <v>2.32816E-2</v>
          </cell>
        </row>
        <row r="358">
          <cell r="Q358">
            <v>-1E-3</v>
          </cell>
        </row>
        <row r="359">
          <cell r="Q359">
            <v>0</v>
          </cell>
        </row>
        <row r="360">
          <cell r="Q360">
            <v>0</v>
          </cell>
        </row>
        <row r="361">
          <cell r="Q361">
            <v>1.2589999999999999E-3</v>
          </cell>
        </row>
        <row r="362">
          <cell r="Q362">
            <v>3.9905068000000002E-2</v>
          </cell>
        </row>
        <row r="363">
          <cell r="Q363">
            <v>-3.9905068000000002E-2</v>
          </cell>
        </row>
        <row r="364">
          <cell r="Q364">
            <v>1.7925660999999999E-2</v>
          </cell>
        </row>
        <row r="365">
          <cell r="Q365">
            <v>0</v>
          </cell>
        </row>
        <row r="366">
          <cell r="Q366">
            <v>0</v>
          </cell>
        </row>
        <row r="367">
          <cell r="Q367">
            <v>7.1699999999999995E-5</v>
          </cell>
        </row>
        <row r="368">
          <cell r="Q368">
            <v>0.26236679099999999</v>
          </cell>
        </row>
        <row r="369">
          <cell r="Q369">
            <v>-0.262366816</v>
          </cell>
        </row>
        <row r="370">
          <cell r="Q370">
            <v>7.9298000000000007E-3</v>
          </cell>
        </row>
        <row r="371">
          <cell r="Q371">
            <v>-6.4298000000000003E-3</v>
          </cell>
        </row>
        <row r="372">
          <cell r="Q372">
            <v>8.5163850000000013E-3</v>
          </cell>
        </row>
        <row r="373">
          <cell r="Q373">
            <v>0</v>
          </cell>
        </row>
        <row r="374">
          <cell r="Q374">
            <v>1.3852000000000001E-3</v>
          </cell>
        </row>
        <row r="375">
          <cell r="Q375">
            <v>0</v>
          </cell>
        </row>
        <row r="376">
          <cell r="Q376">
            <v>0</v>
          </cell>
        </row>
        <row r="377">
          <cell r="Q377">
            <v>2.0719835999999998E-2</v>
          </cell>
        </row>
        <row r="378">
          <cell r="Q378">
            <v>0</v>
          </cell>
        </row>
        <row r="379">
          <cell r="Q379">
            <v>0</v>
          </cell>
        </row>
        <row r="380">
          <cell r="Q380">
            <v>3.5110000000000002E-4</v>
          </cell>
        </row>
        <row r="381">
          <cell r="Q381">
            <v>6.9438288000000001E-2</v>
          </cell>
        </row>
        <row r="382">
          <cell r="Q382">
            <v>-8.1913000000000003E-3</v>
          </cell>
        </row>
        <row r="383">
          <cell r="Q383">
            <v>0</v>
          </cell>
        </row>
        <row r="384">
          <cell r="Q384">
            <v>0</v>
          </cell>
        </row>
        <row r="385">
          <cell r="Q385">
            <v>9.4614999999999999E-4</v>
          </cell>
        </row>
        <row r="386">
          <cell r="Q386">
            <v>0</v>
          </cell>
        </row>
        <row r="387">
          <cell r="Q387">
            <v>1.0289999999999999E-4</v>
          </cell>
        </row>
        <row r="388">
          <cell r="Q388">
            <v>3.5427060999999996E-2</v>
          </cell>
        </row>
        <row r="389">
          <cell r="Q389">
            <v>-1.3402799999999999E-2</v>
          </cell>
        </row>
        <row r="390">
          <cell r="Q390">
            <v>0</v>
          </cell>
        </row>
        <row r="391">
          <cell r="Q391">
            <v>0</v>
          </cell>
        </row>
        <row r="392">
          <cell r="Q392">
            <v>2.6052123999999999E-2</v>
          </cell>
        </row>
        <row r="393">
          <cell r="Q393">
            <v>0</v>
          </cell>
        </row>
        <row r="394">
          <cell r="Q394">
            <v>0</v>
          </cell>
        </row>
        <row r="395">
          <cell r="Q395">
            <v>0</v>
          </cell>
        </row>
        <row r="396">
          <cell r="Q396">
            <v>0</v>
          </cell>
        </row>
        <row r="397">
          <cell r="Q397">
            <v>0</v>
          </cell>
        </row>
        <row r="398">
          <cell r="Q398">
            <v>0</v>
          </cell>
        </row>
        <row r="399">
          <cell r="Q399">
            <v>0</v>
          </cell>
        </row>
        <row r="400">
          <cell r="Q400">
            <v>0</v>
          </cell>
        </row>
        <row r="401">
          <cell r="Q401">
            <v>1.138E-4</v>
          </cell>
        </row>
        <row r="402">
          <cell r="Q402">
            <v>2.0602700000000002E-2</v>
          </cell>
        </row>
        <row r="403">
          <cell r="Q403">
            <v>0</v>
          </cell>
        </row>
        <row r="404">
          <cell r="Q404">
            <v>0</v>
          </cell>
        </row>
        <row r="405">
          <cell r="Q405">
            <v>0</v>
          </cell>
        </row>
        <row r="406">
          <cell r="Q406">
            <v>2.2680000000000001E-4</v>
          </cell>
        </row>
        <row r="407">
          <cell r="Q407">
            <v>4.2967384000000004E-2</v>
          </cell>
        </row>
        <row r="408">
          <cell r="Q408">
            <v>0</v>
          </cell>
        </row>
        <row r="409">
          <cell r="Q409">
            <v>0</v>
          </cell>
        </row>
        <row r="410">
          <cell r="Q410">
            <v>0</v>
          </cell>
        </row>
        <row r="411">
          <cell r="Q411">
            <v>9.6385600000000009E-3</v>
          </cell>
        </row>
        <row r="412">
          <cell r="Q412">
            <v>0</v>
          </cell>
        </row>
        <row r="413">
          <cell r="Q413">
            <v>0</v>
          </cell>
        </row>
        <row r="414">
          <cell r="Q414">
            <v>0</v>
          </cell>
        </row>
        <row r="415">
          <cell r="Q415">
            <v>1.9819999999999999E-4</v>
          </cell>
        </row>
        <row r="416">
          <cell r="Q416">
            <v>0.10367636700000001</v>
          </cell>
        </row>
        <row r="417">
          <cell r="Q417">
            <v>0</v>
          </cell>
        </row>
        <row r="418">
          <cell r="Q418">
            <v>0</v>
          </cell>
        </row>
        <row r="419">
          <cell r="Q419">
            <v>0</v>
          </cell>
        </row>
        <row r="420">
          <cell r="Q420">
            <v>6.8100000000000002E-5</v>
          </cell>
        </row>
        <row r="421">
          <cell r="Q421">
            <v>1.7080793E-2</v>
          </cell>
        </row>
        <row r="422">
          <cell r="Q422">
            <v>0</v>
          </cell>
        </row>
        <row r="423">
          <cell r="Q423">
            <v>7.2584320000000004E-3</v>
          </cell>
        </row>
        <row r="424">
          <cell r="Q424">
            <v>0</v>
          </cell>
        </row>
        <row r="425">
          <cell r="Q425">
            <v>0</v>
          </cell>
        </row>
        <row r="426">
          <cell r="Q426">
            <v>0</v>
          </cell>
        </row>
        <row r="427">
          <cell r="Q427">
            <v>2.05E-5</v>
          </cell>
        </row>
        <row r="428">
          <cell r="Q428">
            <v>1.4696855999999999E-2</v>
          </cell>
        </row>
        <row r="429">
          <cell r="Q429">
            <v>0</v>
          </cell>
        </row>
        <row r="430">
          <cell r="Q430">
            <v>0</v>
          </cell>
        </row>
        <row r="431">
          <cell r="Q431">
            <v>0</v>
          </cell>
        </row>
        <row r="432">
          <cell r="Q432">
            <v>8.2485800000000004E-4</v>
          </cell>
        </row>
        <row r="433">
          <cell r="Q433">
            <v>0</v>
          </cell>
        </row>
        <row r="434">
          <cell r="Q434">
            <v>2.942E-4</v>
          </cell>
        </row>
        <row r="435">
          <cell r="Q435">
            <v>3.2973918999999997E-2</v>
          </cell>
        </row>
        <row r="436">
          <cell r="Q436">
            <v>0</v>
          </cell>
        </row>
        <row r="437">
          <cell r="Q437">
            <v>9.0094999999999997E-4</v>
          </cell>
        </row>
        <row r="438">
          <cell r="Q438">
            <v>0</v>
          </cell>
        </row>
        <row r="439">
          <cell r="Q439">
            <v>0</v>
          </cell>
        </row>
        <row r="440">
          <cell r="Q440">
            <v>0</v>
          </cell>
        </row>
        <row r="441">
          <cell r="Q441">
            <v>3.6376870000000001E-3</v>
          </cell>
        </row>
        <row r="442">
          <cell r="Q442">
            <v>0</v>
          </cell>
        </row>
        <row r="443">
          <cell r="Q443">
            <v>1.1000000000000001E-6</v>
          </cell>
        </row>
        <row r="444">
          <cell r="Q444">
            <v>8.7385899999999992E-3</v>
          </cell>
        </row>
        <row r="445">
          <cell r="Q445">
            <v>-8.7385899999999992E-3</v>
          </cell>
        </row>
        <row r="446">
          <cell r="Q446">
            <v>0</v>
          </cell>
        </row>
        <row r="447">
          <cell r="Q447">
            <v>0</v>
          </cell>
        </row>
        <row r="448">
          <cell r="Q448">
            <v>0</v>
          </cell>
        </row>
        <row r="449">
          <cell r="Q449">
            <v>0</v>
          </cell>
        </row>
        <row r="450">
          <cell r="Q450">
            <v>4.32E-5</v>
          </cell>
        </row>
        <row r="451">
          <cell r="Q451">
            <v>0.16874383500000001</v>
          </cell>
        </row>
        <row r="452">
          <cell r="Q452">
            <v>-1.56968E-2</v>
          </cell>
        </row>
        <row r="453">
          <cell r="Q453">
            <v>0</v>
          </cell>
        </row>
        <row r="454">
          <cell r="Q454">
            <v>0</v>
          </cell>
        </row>
        <row r="455">
          <cell r="Q455">
            <v>0</v>
          </cell>
        </row>
        <row r="456">
          <cell r="Q456">
            <v>9.2730000000000004E-4</v>
          </cell>
        </row>
        <row r="457">
          <cell r="Q457">
            <v>0</v>
          </cell>
        </row>
        <row r="458">
          <cell r="Q458">
            <v>1.2599194000000001E-2</v>
          </cell>
        </row>
        <row r="459">
          <cell r="Q459">
            <v>0</v>
          </cell>
        </row>
        <row r="460">
          <cell r="Q460">
            <v>0</v>
          </cell>
        </row>
        <row r="461">
          <cell r="Q461">
            <v>0</v>
          </cell>
        </row>
        <row r="462">
          <cell r="Q462">
            <v>9.4684999999999995E-4</v>
          </cell>
        </row>
        <row r="463">
          <cell r="Q463">
            <v>0</v>
          </cell>
        </row>
        <row r="464">
          <cell r="Q464">
            <v>1.0471E-3</v>
          </cell>
        </row>
        <row r="465">
          <cell r="Q465">
            <v>9.5643973999999993E-2</v>
          </cell>
        </row>
        <row r="466">
          <cell r="Q466">
            <v>0</v>
          </cell>
        </row>
        <row r="467">
          <cell r="Q467">
            <v>0</v>
          </cell>
        </row>
        <row r="468">
          <cell r="Q468">
            <v>0</v>
          </cell>
        </row>
        <row r="469">
          <cell r="Q469">
            <v>0</v>
          </cell>
        </row>
        <row r="470">
          <cell r="Q470">
            <v>1.2762889999999999E-2</v>
          </cell>
        </row>
        <row r="471">
          <cell r="Q471">
            <v>0</v>
          </cell>
        </row>
        <row r="472">
          <cell r="Q472">
            <v>5.8097800000000001E-4</v>
          </cell>
        </row>
        <row r="473">
          <cell r="Q473">
            <v>0</v>
          </cell>
        </row>
        <row r="474">
          <cell r="Q474">
            <v>6.7635649999999992E-3</v>
          </cell>
        </row>
        <row r="475">
          <cell r="Q475">
            <v>0</v>
          </cell>
        </row>
        <row r="476">
          <cell r="Q476">
            <v>1.5916649999999999E-3</v>
          </cell>
        </row>
        <row r="477">
          <cell r="Q477">
            <v>0</v>
          </cell>
          <cell r="R477">
            <v>0</v>
          </cell>
        </row>
        <row r="478">
          <cell r="Q478">
            <v>0</v>
          </cell>
          <cell r="R478">
            <v>53.935233199999999</v>
          </cell>
        </row>
        <row r="479">
          <cell r="Q479">
            <v>0</v>
          </cell>
          <cell r="R479">
            <v>0</v>
          </cell>
        </row>
        <row r="480">
          <cell r="R480">
            <v>100</v>
          </cell>
        </row>
        <row r="481">
          <cell r="G481">
            <v>2.0998617039999998</v>
          </cell>
          <cell r="R481">
            <v>2.0998617039999998</v>
          </cell>
        </row>
        <row r="482">
          <cell r="G482">
            <v>6.200139429</v>
          </cell>
          <cell r="R482">
            <v>6.200139429</v>
          </cell>
        </row>
        <row r="483">
          <cell r="G483">
            <v>0</v>
          </cell>
          <cell r="R483">
            <v>0</v>
          </cell>
        </row>
        <row r="484">
          <cell r="G484">
            <v>4.8521920999999999</v>
          </cell>
          <cell r="R484">
            <v>4.8521920999999999</v>
          </cell>
        </row>
        <row r="485">
          <cell r="G485">
            <v>0</v>
          </cell>
          <cell r="R485">
            <v>0</v>
          </cell>
        </row>
        <row r="486">
          <cell r="G486">
            <v>0.55589999999999995</v>
          </cell>
          <cell r="R486">
            <v>0.55589999999999995</v>
          </cell>
        </row>
        <row r="487">
          <cell r="G487">
            <v>41.253665754000004</v>
          </cell>
          <cell r="R487">
            <v>41.253665754000004</v>
          </cell>
        </row>
        <row r="488">
          <cell r="G488">
            <v>0</v>
          </cell>
          <cell r="R488">
            <v>0</v>
          </cell>
        </row>
        <row r="490">
          <cell r="Q490">
            <v>0</v>
          </cell>
          <cell r="R490">
            <v>0</v>
          </cell>
        </row>
        <row r="491">
          <cell r="Q491">
            <v>3.7869865999999995E-2</v>
          </cell>
          <cell r="R491">
            <v>0</v>
          </cell>
        </row>
        <row r="492">
          <cell r="Q492">
            <v>0</v>
          </cell>
          <cell r="R492">
            <v>0</v>
          </cell>
        </row>
        <row r="493">
          <cell r="Q493">
            <v>0</v>
          </cell>
          <cell r="R493">
            <v>0</v>
          </cell>
        </row>
        <row r="494">
          <cell r="Q494">
            <v>2.9250000000000001E-3</v>
          </cell>
          <cell r="R494">
            <v>0</v>
          </cell>
        </row>
        <row r="495">
          <cell r="Q495">
            <v>0</v>
          </cell>
          <cell r="R495">
            <v>0</v>
          </cell>
        </row>
        <row r="496">
          <cell r="Q496">
            <v>1.3331232999999998E-2</v>
          </cell>
          <cell r="R496">
            <v>0</v>
          </cell>
        </row>
        <row r="497">
          <cell r="Q497">
            <v>1.0979449999999999</v>
          </cell>
          <cell r="R497">
            <v>0</v>
          </cell>
        </row>
        <row r="498">
          <cell r="Q498">
            <v>0</v>
          </cell>
          <cell r="R498">
            <v>0</v>
          </cell>
        </row>
        <row r="499">
          <cell r="Q499">
            <v>0</v>
          </cell>
          <cell r="R499">
            <v>0</v>
          </cell>
        </row>
        <row r="500">
          <cell r="Q500">
            <v>0</v>
          </cell>
          <cell r="R500">
            <v>0</v>
          </cell>
        </row>
        <row r="501">
          <cell r="Q501">
            <v>0</v>
          </cell>
          <cell r="R501">
            <v>0</v>
          </cell>
        </row>
        <row r="502">
          <cell r="Q502">
            <v>1.0620000000000001E-4</v>
          </cell>
          <cell r="R502">
            <v>0</v>
          </cell>
        </row>
        <row r="503">
          <cell r="Q503">
            <v>0</v>
          </cell>
          <cell r="R503">
            <v>0</v>
          </cell>
        </row>
        <row r="504">
          <cell r="Q504">
            <v>8.9930000000000001E-4</v>
          </cell>
          <cell r="R504">
            <v>0</v>
          </cell>
        </row>
        <row r="505">
          <cell r="R505">
            <v>1274.3203189000001</v>
          </cell>
        </row>
        <row r="506">
          <cell r="R506">
            <v>1.7177159</v>
          </cell>
        </row>
        <row r="507">
          <cell r="R507">
            <v>5.4722199999999999E-2</v>
          </cell>
        </row>
        <row r="508">
          <cell r="R508">
            <v>1.1501427660000001</v>
          </cell>
        </row>
        <row r="509">
          <cell r="D509">
            <v>27414</v>
          </cell>
          <cell r="E509" t="str">
            <v>TCS credit receivable under section 206</v>
          </cell>
          <cell r="Q509">
            <v>1.6755757210000002</v>
          </cell>
        </row>
        <row r="510">
          <cell r="R510">
            <v>5.58612194</v>
          </cell>
        </row>
        <row r="511">
          <cell r="R511">
            <v>77.505200266999992</v>
          </cell>
        </row>
        <row r="512">
          <cell r="Q512">
            <v>0</v>
          </cell>
          <cell r="R512">
            <v>0</v>
          </cell>
        </row>
        <row r="513">
          <cell r="G513">
            <v>668.29253248999999</v>
          </cell>
          <cell r="Q513">
            <v>668.29253248999999</v>
          </cell>
        </row>
        <row r="514">
          <cell r="G514">
            <v>48.119705183000001</v>
          </cell>
          <cell r="R514">
            <v>48.119705183000001</v>
          </cell>
        </row>
        <row r="515">
          <cell r="G515">
            <v>794.38951459999998</v>
          </cell>
        </row>
        <row r="516">
          <cell r="Q516">
            <v>7.5023920000000001E-3</v>
          </cell>
        </row>
        <row r="517">
          <cell r="Q517">
            <v>0</v>
          </cell>
          <cell r="R517">
            <v>0</v>
          </cell>
        </row>
        <row r="518">
          <cell r="Q518">
            <v>0</v>
          </cell>
        </row>
        <row r="519">
          <cell r="Q519">
            <v>0</v>
          </cell>
        </row>
        <row r="520">
          <cell r="Q520">
            <v>0</v>
          </cell>
        </row>
        <row r="521">
          <cell r="Q521">
            <v>56.289302399999997</v>
          </cell>
          <cell r="R521">
            <v>0</v>
          </cell>
        </row>
        <row r="522">
          <cell r="R522">
            <v>0</v>
          </cell>
        </row>
        <row r="523">
          <cell r="Q523">
            <v>26.153931013999998</v>
          </cell>
        </row>
        <row r="524">
          <cell r="Q524">
            <v>0</v>
          </cell>
          <cell r="R524">
            <v>0</v>
          </cell>
        </row>
        <row r="525">
          <cell r="Q525">
            <v>0</v>
          </cell>
          <cell r="R525">
            <v>0</v>
          </cell>
        </row>
        <row r="526">
          <cell r="Q526">
            <v>37.949311001999995</v>
          </cell>
        </row>
        <row r="527">
          <cell r="R527">
            <v>0</v>
          </cell>
        </row>
        <row r="528">
          <cell r="Q528">
            <v>5.2490056039999997</v>
          </cell>
        </row>
        <row r="529">
          <cell r="Q529">
            <v>0.165316462</v>
          </cell>
        </row>
        <row r="530">
          <cell r="Q530">
            <v>0.165316462</v>
          </cell>
        </row>
        <row r="531">
          <cell r="Q531">
            <v>3.4776E-3</v>
          </cell>
        </row>
        <row r="532">
          <cell r="Q532">
            <v>1.3162099999999999E-2</v>
          </cell>
        </row>
        <row r="533">
          <cell r="Q533">
            <v>1.3162200000000001E-2</v>
          </cell>
        </row>
        <row r="534">
          <cell r="Q534">
            <v>0</v>
          </cell>
        </row>
        <row r="535">
          <cell r="Q535">
            <v>0</v>
          </cell>
        </row>
        <row r="536">
          <cell r="Q536">
            <v>5.5000000000000003E-8</v>
          </cell>
        </row>
        <row r="537">
          <cell r="Q537">
            <v>5.5000000000000003E-8</v>
          </cell>
        </row>
        <row r="538">
          <cell r="Q538">
            <v>1.7968899999999999E-2</v>
          </cell>
        </row>
        <row r="539">
          <cell r="Q539">
            <v>1.7968899999999999E-2</v>
          </cell>
        </row>
        <row r="540">
          <cell r="Q540">
            <v>8.0999999999999996E-4</v>
          </cell>
        </row>
        <row r="541">
          <cell r="Q541">
            <v>0.100330376</v>
          </cell>
        </row>
        <row r="542">
          <cell r="Q542">
            <v>0</v>
          </cell>
        </row>
        <row r="543">
          <cell r="Q543">
            <v>0</v>
          </cell>
        </row>
        <row r="544">
          <cell r="Q544">
            <v>0</v>
          </cell>
        </row>
        <row r="545">
          <cell r="Q545">
            <v>0.88386330000000002</v>
          </cell>
        </row>
        <row r="546">
          <cell r="Q546">
            <v>1646.6154007600001</v>
          </cell>
        </row>
        <row r="547">
          <cell r="Q547">
            <v>0</v>
          </cell>
        </row>
        <row r="548">
          <cell r="Q548">
            <v>0</v>
          </cell>
          <cell r="R548">
            <v>0</v>
          </cell>
        </row>
        <row r="549">
          <cell r="Q549">
            <v>0</v>
          </cell>
        </row>
        <row r="550">
          <cell r="Q550">
            <v>0</v>
          </cell>
        </row>
        <row r="551">
          <cell r="Q551">
            <v>0</v>
          </cell>
        </row>
        <row r="552">
          <cell r="Q552">
            <v>0</v>
          </cell>
        </row>
        <row r="553">
          <cell r="Q553">
            <v>0</v>
          </cell>
        </row>
        <row r="554">
          <cell r="Q554">
            <v>0</v>
          </cell>
        </row>
        <row r="555">
          <cell r="Q555">
            <v>0</v>
          </cell>
        </row>
        <row r="556">
          <cell r="Q556">
            <v>0</v>
          </cell>
        </row>
        <row r="557">
          <cell r="Q557">
            <v>0</v>
          </cell>
        </row>
        <row r="558">
          <cell r="Q558">
            <v>0</v>
          </cell>
        </row>
        <row r="559">
          <cell r="Q559">
            <v>0</v>
          </cell>
        </row>
        <row r="560">
          <cell r="Q560">
            <v>0</v>
          </cell>
        </row>
        <row r="561">
          <cell r="Q561">
            <v>0</v>
          </cell>
        </row>
        <row r="562">
          <cell r="Q562">
            <v>0</v>
          </cell>
        </row>
        <row r="563">
          <cell r="Q563">
            <v>0</v>
          </cell>
        </row>
        <row r="564">
          <cell r="Q564">
            <v>0</v>
          </cell>
        </row>
        <row r="565">
          <cell r="Q565">
            <v>0</v>
          </cell>
        </row>
        <row r="566">
          <cell r="Q566">
            <v>0</v>
          </cell>
        </row>
        <row r="567">
          <cell r="Q567">
            <v>0</v>
          </cell>
        </row>
        <row r="568">
          <cell r="Q568">
            <v>0</v>
          </cell>
        </row>
        <row r="569">
          <cell r="Q569">
            <v>0</v>
          </cell>
        </row>
        <row r="570">
          <cell r="Q570">
            <v>0</v>
          </cell>
        </row>
        <row r="571">
          <cell r="Q571">
            <v>0</v>
          </cell>
        </row>
        <row r="572">
          <cell r="Q572">
            <v>0</v>
          </cell>
        </row>
        <row r="573">
          <cell r="Q573">
            <v>0</v>
          </cell>
        </row>
        <row r="574">
          <cell r="Q574">
            <v>0</v>
          </cell>
        </row>
        <row r="575">
          <cell r="Q575">
            <v>0</v>
          </cell>
        </row>
        <row r="576">
          <cell r="Q576">
            <v>0</v>
          </cell>
        </row>
        <row r="577">
          <cell r="Q577">
            <v>0</v>
          </cell>
        </row>
        <row r="578">
          <cell r="Q578">
            <v>0</v>
          </cell>
        </row>
        <row r="579">
          <cell r="Q579">
            <v>0</v>
          </cell>
        </row>
        <row r="580">
          <cell r="Q580">
            <v>0</v>
          </cell>
        </row>
        <row r="581">
          <cell r="Q581">
            <v>0</v>
          </cell>
        </row>
        <row r="582">
          <cell r="Q582">
            <v>0</v>
          </cell>
        </row>
        <row r="583">
          <cell r="Q583">
            <v>0</v>
          </cell>
        </row>
        <row r="584">
          <cell r="Q584">
            <v>0</v>
          </cell>
        </row>
        <row r="585">
          <cell r="Q585">
            <v>0</v>
          </cell>
        </row>
        <row r="586">
          <cell r="Q586">
            <v>0</v>
          </cell>
        </row>
        <row r="587">
          <cell r="Q587">
            <v>0</v>
          </cell>
        </row>
        <row r="588">
          <cell r="Q588">
            <v>0</v>
          </cell>
        </row>
        <row r="589">
          <cell r="Q589">
            <v>0</v>
          </cell>
        </row>
        <row r="590">
          <cell r="Q590">
            <v>0</v>
          </cell>
        </row>
        <row r="591">
          <cell r="Q591">
            <v>0</v>
          </cell>
        </row>
        <row r="592">
          <cell r="Q592">
            <v>0</v>
          </cell>
        </row>
        <row r="593">
          <cell r="Q593">
            <v>0</v>
          </cell>
        </row>
        <row r="594">
          <cell r="Q594">
            <v>0</v>
          </cell>
        </row>
        <row r="595">
          <cell r="Q595">
            <v>0</v>
          </cell>
        </row>
        <row r="596">
          <cell r="Q596">
            <v>0</v>
          </cell>
        </row>
        <row r="597">
          <cell r="Q597">
            <v>0.97982893000000004</v>
          </cell>
        </row>
        <row r="598">
          <cell r="Q598">
            <v>3.3500000000000002E-7</v>
          </cell>
        </row>
        <row r="599">
          <cell r="Q599">
            <v>0.48535332199999998</v>
          </cell>
        </row>
        <row r="600">
          <cell r="Q600">
            <v>0.131382676</v>
          </cell>
        </row>
        <row r="601">
          <cell r="Q601">
            <v>0</v>
          </cell>
        </row>
        <row r="602">
          <cell r="Q602">
            <v>0</v>
          </cell>
        </row>
        <row r="603">
          <cell r="Q603">
            <v>4.2215931999999998E-2</v>
          </cell>
        </row>
        <row r="604">
          <cell r="Q604">
            <v>0</v>
          </cell>
        </row>
        <row r="605">
          <cell r="Q605">
            <v>0</v>
          </cell>
        </row>
        <row r="606">
          <cell r="Q606">
            <v>0</v>
          </cell>
        </row>
        <row r="607">
          <cell r="Q607">
            <v>0.41969687500000002</v>
          </cell>
        </row>
        <row r="608">
          <cell r="Q608">
            <v>0.55532680400000001</v>
          </cell>
        </row>
        <row r="609">
          <cell r="Q609">
            <v>4.1249907810000002</v>
          </cell>
        </row>
        <row r="610">
          <cell r="Q610">
            <v>0</v>
          </cell>
        </row>
        <row r="611">
          <cell r="Q611">
            <v>0</v>
          </cell>
        </row>
        <row r="612">
          <cell r="Q612">
            <v>457.66770446999999</v>
          </cell>
        </row>
        <row r="613">
          <cell r="Q613">
            <v>0</v>
          </cell>
        </row>
        <row r="614">
          <cell r="Q614">
            <v>1.341848938</v>
          </cell>
        </row>
        <row r="615">
          <cell r="Q615">
            <v>0.74012271900000004</v>
          </cell>
        </row>
        <row r="616">
          <cell r="Q616">
            <v>0.88982549199999994</v>
          </cell>
        </row>
        <row r="617">
          <cell r="Q617">
            <v>1.9116000000000001E-3</v>
          </cell>
        </row>
        <row r="618">
          <cell r="Q618">
            <v>2.6770660000000001E-3</v>
          </cell>
        </row>
        <row r="619">
          <cell r="Q619">
            <v>17.388309764999999</v>
          </cell>
        </row>
        <row r="620">
          <cell r="Q620">
            <v>62.912467638000003</v>
          </cell>
        </row>
        <row r="621">
          <cell r="Q621">
            <v>0.25597344100000002</v>
          </cell>
        </row>
        <row r="622">
          <cell r="Q622">
            <v>0</v>
          </cell>
        </row>
        <row r="623">
          <cell r="Q623">
            <v>3.1800302000000003E-2</v>
          </cell>
        </row>
        <row r="624">
          <cell r="Q624">
            <v>0.23490719399999999</v>
          </cell>
        </row>
        <row r="625">
          <cell r="Q625">
            <v>8.4038719999999997E-3</v>
          </cell>
        </row>
        <row r="626">
          <cell r="Q626">
            <v>0</v>
          </cell>
        </row>
        <row r="627">
          <cell r="Q627">
            <v>0</v>
          </cell>
        </row>
        <row r="628">
          <cell r="Q628">
            <v>0</v>
          </cell>
        </row>
        <row r="629">
          <cell r="Q629">
            <v>1.9513300000000001E-2</v>
          </cell>
        </row>
        <row r="630">
          <cell r="Q630">
            <v>0.13185798999999998</v>
          </cell>
        </row>
        <row r="631">
          <cell r="Q631">
            <v>0</v>
          </cell>
        </row>
        <row r="632">
          <cell r="Q632">
            <v>117.16416536000008</v>
          </cell>
          <cell r="R632">
            <v>719.79877039999997</v>
          </cell>
        </row>
        <row r="633">
          <cell r="Q633">
            <v>0</v>
          </cell>
        </row>
        <row r="634">
          <cell r="Q634">
            <v>165.47962041200003</v>
          </cell>
          <cell r="R634">
            <v>784.35546490000002</v>
          </cell>
        </row>
        <row r="635">
          <cell r="Q635">
            <v>20.403557200000002</v>
          </cell>
        </row>
        <row r="636">
          <cell r="Q636">
            <v>0</v>
          </cell>
        </row>
        <row r="637">
          <cell r="Q637">
            <v>0</v>
          </cell>
        </row>
        <row r="638">
          <cell r="Q638">
            <v>0</v>
          </cell>
        </row>
        <row r="639">
          <cell r="Q639">
            <v>1.1677818</v>
          </cell>
        </row>
        <row r="640">
          <cell r="Q640">
            <v>0.14219699999999999</v>
          </cell>
        </row>
        <row r="641">
          <cell r="Q641">
            <v>0</v>
          </cell>
        </row>
        <row r="642">
          <cell r="Q642">
            <v>12.453330461</v>
          </cell>
        </row>
        <row r="643">
          <cell r="Q643">
            <v>0</v>
          </cell>
        </row>
        <row r="644">
          <cell r="Q644">
            <v>9.7921745300000005</v>
          </cell>
        </row>
        <row r="645">
          <cell r="Q645">
            <v>-0.13497572299999999</v>
          </cell>
        </row>
        <row r="646">
          <cell r="Q646">
            <v>0.210095</v>
          </cell>
        </row>
        <row r="647">
          <cell r="Q647">
            <v>6.1003999999999997E-3</v>
          </cell>
        </row>
        <row r="648">
          <cell r="Q648">
            <v>0</v>
          </cell>
        </row>
        <row r="649">
          <cell r="Q649">
            <v>0</v>
          </cell>
        </row>
        <row r="650">
          <cell r="Q650">
            <v>1.1406582430000001</v>
          </cell>
        </row>
        <row r="651">
          <cell r="Q651">
            <v>9.0600000000000007E-5</v>
          </cell>
        </row>
        <row r="652">
          <cell r="Q652">
            <v>1.7039999999999999E-4</v>
          </cell>
        </row>
        <row r="653">
          <cell r="Q653">
            <v>9.5000000000000005E-5</v>
          </cell>
        </row>
        <row r="654">
          <cell r="Q654">
            <v>0</v>
          </cell>
        </row>
        <row r="655">
          <cell r="Q655">
            <v>18.762756799999998</v>
          </cell>
        </row>
        <row r="656">
          <cell r="Q656">
            <v>0.16045768999999999</v>
          </cell>
        </row>
        <row r="657">
          <cell r="Q657">
            <v>0</v>
          </cell>
        </row>
        <row r="658">
          <cell r="Q658">
            <v>2.8625019999999998E-3</v>
          </cell>
        </row>
        <row r="659">
          <cell r="Q659">
            <v>341.94319856999999</v>
          </cell>
        </row>
        <row r="660">
          <cell r="G660">
            <v>76.211765499999998</v>
          </cell>
          <cell r="R660">
            <v>76.211765499999998</v>
          </cell>
        </row>
        <row r="661">
          <cell r="Q661">
            <v>303.51013034200002</v>
          </cell>
        </row>
        <row r="662">
          <cell r="Q662">
            <v>319.35688073200004</v>
          </cell>
        </row>
        <row r="663">
          <cell r="D663">
            <v>46434</v>
          </cell>
          <cell r="Q663">
            <v>173.91196567135512</v>
          </cell>
          <cell r="R663">
            <v>2858.522720325645</v>
          </cell>
        </row>
        <row r="664">
          <cell r="Q664">
            <v>2.7241227019999998</v>
          </cell>
        </row>
        <row r="665">
          <cell r="Q665">
            <v>0</v>
          </cell>
        </row>
        <row r="666">
          <cell r="Q666">
            <v>20.597373300000001</v>
          </cell>
        </row>
        <row r="667">
          <cell r="Q667">
            <v>0</v>
          </cell>
        </row>
        <row r="668">
          <cell r="Q668">
            <v>0</v>
          </cell>
        </row>
        <row r="669">
          <cell r="Q669">
            <v>50.6782447</v>
          </cell>
        </row>
        <row r="670">
          <cell r="Q670">
            <v>54.880319100000001</v>
          </cell>
        </row>
        <row r="671">
          <cell r="Q671">
            <v>0</v>
          </cell>
        </row>
        <row r="672">
          <cell r="Q672">
            <v>0</v>
          </cell>
        </row>
        <row r="673">
          <cell r="Q673">
            <v>0</v>
          </cell>
        </row>
        <row r="674">
          <cell r="Q674">
            <v>0</v>
          </cell>
        </row>
        <row r="675">
          <cell r="Q675">
            <v>0</v>
          </cell>
        </row>
        <row r="676">
          <cell r="R676">
            <v>1026.6424787999999</v>
          </cell>
        </row>
        <row r="677">
          <cell r="Q677">
            <v>0</v>
          </cell>
        </row>
        <row r="678">
          <cell r="Q678">
            <v>0</v>
          </cell>
        </row>
        <row r="679">
          <cell r="Q679">
            <v>5.6553348999999997</v>
          </cell>
        </row>
        <row r="680">
          <cell r="Q680">
            <v>0.1093209</v>
          </cell>
        </row>
        <row r="681">
          <cell r="Q681">
            <v>1.4825417999999999</v>
          </cell>
        </row>
        <row r="682">
          <cell r="Q682">
            <v>2.2480894000000001E-2</v>
          </cell>
        </row>
        <row r="683">
          <cell r="Q683">
            <v>26.158834612</v>
          </cell>
        </row>
        <row r="684">
          <cell r="Q684">
            <v>-3.2223E-3</v>
          </cell>
        </row>
        <row r="685">
          <cell r="Q685">
            <v>0.95011199999999996</v>
          </cell>
        </row>
        <row r="686">
          <cell r="Q686">
            <v>0</v>
          </cell>
        </row>
        <row r="687">
          <cell r="Q687">
            <v>2.4852996840000001</v>
          </cell>
        </row>
        <row r="688">
          <cell r="Q688">
            <v>0</v>
          </cell>
        </row>
        <row r="689">
          <cell r="Q689">
            <v>0</v>
          </cell>
        </row>
        <row r="690">
          <cell r="Q690">
            <v>0</v>
          </cell>
        </row>
        <row r="691">
          <cell r="Q691">
            <v>0</v>
          </cell>
        </row>
        <row r="692">
          <cell r="Q692">
            <v>11.969886935</v>
          </cell>
        </row>
        <row r="693">
          <cell r="Q693">
            <v>11.969001536</v>
          </cell>
        </row>
        <row r="694">
          <cell r="Q694">
            <v>0.85218722799999991</v>
          </cell>
        </row>
        <row r="695">
          <cell r="Q695">
            <v>8.9425399569999993</v>
          </cell>
        </row>
        <row r="696">
          <cell r="Q696">
            <v>8.9425399569999993</v>
          </cell>
        </row>
        <row r="697">
          <cell r="Q697">
            <v>16.614765618</v>
          </cell>
        </row>
        <row r="698">
          <cell r="Q698">
            <v>0</v>
          </cell>
        </row>
        <row r="699">
          <cell r="Q699">
            <v>1.300031347</v>
          </cell>
        </row>
        <row r="700">
          <cell r="Q700">
            <v>0</v>
          </cell>
        </row>
        <row r="701">
          <cell r="Q701">
            <v>0</v>
          </cell>
        </row>
        <row r="702">
          <cell r="Q702">
            <v>0</v>
          </cell>
        </row>
        <row r="703">
          <cell r="Q703">
            <v>0</v>
          </cell>
        </row>
        <row r="704">
          <cell r="Q704">
            <v>0</v>
          </cell>
        </row>
        <row r="705">
          <cell r="Q705">
            <v>0</v>
          </cell>
        </row>
        <row r="706">
          <cell r="Q706">
            <v>0</v>
          </cell>
        </row>
        <row r="707">
          <cell r="Q707">
            <v>0</v>
          </cell>
        </row>
        <row r="708">
          <cell r="Q708">
            <v>1.0565932090000001</v>
          </cell>
        </row>
        <row r="709">
          <cell r="Q709">
            <v>1.056593109</v>
          </cell>
        </row>
        <row r="710">
          <cell r="Q710">
            <v>-2.3398795649999999</v>
          </cell>
        </row>
        <row r="711">
          <cell r="Q711">
            <v>0</v>
          </cell>
        </row>
        <row r="712">
          <cell r="Q712">
            <v>0</v>
          </cell>
        </row>
        <row r="713">
          <cell r="Q713">
            <v>0</v>
          </cell>
        </row>
        <row r="714">
          <cell r="Q714">
            <v>0.35220204300000002</v>
          </cell>
        </row>
        <row r="715">
          <cell r="Q715">
            <v>0.352202238</v>
          </cell>
        </row>
        <row r="716">
          <cell r="Q716">
            <v>0</v>
          </cell>
        </row>
        <row r="717">
          <cell r="Q717">
            <v>18.764079599999999</v>
          </cell>
        </row>
        <row r="718">
          <cell r="Q718">
            <v>0</v>
          </cell>
        </row>
        <row r="719">
          <cell r="Q719">
            <v>26.048086900000001</v>
          </cell>
        </row>
        <row r="720">
          <cell r="Q720">
            <v>6.4999999999999997E-3</v>
          </cell>
        </row>
        <row r="721">
          <cell r="R721">
            <v>18.734084325000001</v>
          </cell>
        </row>
        <row r="722">
          <cell r="R722">
            <v>64.614504539999999</v>
          </cell>
        </row>
        <row r="723">
          <cell r="Q723">
            <v>410.59314440600002</v>
          </cell>
        </row>
        <row r="724">
          <cell r="Q724">
            <v>83.069232370999998</v>
          </cell>
        </row>
        <row r="725">
          <cell r="Q725">
            <v>473.56399540000001</v>
          </cell>
        </row>
        <row r="726">
          <cell r="Q726">
            <v>6.1501480000000004E-2</v>
          </cell>
        </row>
        <row r="727">
          <cell r="Q727">
            <v>0</v>
          </cell>
        </row>
        <row r="728">
          <cell r="Q728">
            <v>412.49298629999998</v>
          </cell>
        </row>
        <row r="729">
          <cell r="R729">
            <v>325</v>
          </cell>
        </row>
        <row r="730">
          <cell r="Q730">
            <v>0</v>
          </cell>
        </row>
        <row r="731">
          <cell r="Q731">
            <v>0</v>
          </cell>
        </row>
        <row r="732">
          <cell r="Q732">
            <v>0</v>
          </cell>
        </row>
        <row r="733">
          <cell r="R733">
            <v>499.99961539999998</v>
          </cell>
        </row>
        <row r="734">
          <cell r="Q734">
            <v>3007.3649362000001</v>
          </cell>
        </row>
        <row r="735">
          <cell r="Q735">
            <v>0</v>
          </cell>
        </row>
        <row r="736">
          <cell r="Q736">
            <v>0</v>
          </cell>
        </row>
        <row r="737">
          <cell r="Q737">
            <v>0</v>
          </cell>
        </row>
        <row r="738">
          <cell r="Q738">
            <v>0</v>
          </cell>
        </row>
        <row r="739">
          <cell r="Q739">
            <v>0</v>
          </cell>
        </row>
        <row r="740">
          <cell r="Q740">
            <v>0</v>
          </cell>
        </row>
        <row r="741">
          <cell r="Q741">
            <v>37.499997899999997</v>
          </cell>
        </row>
        <row r="742">
          <cell r="Q742">
            <v>0</v>
          </cell>
        </row>
        <row r="743">
          <cell r="Q743">
            <v>1750.0000001000001</v>
          </cell>
        </row>
        <row r="744">
          <cell r="Q744">
            <v>0</v>
          </cell>
        </row>
        <row r="745">
          <cell r="Q745">
            <v>2096.34</v>
          </cell>
        </row>
        <row r="746">
          <cell r="Q746">
            <v>735</v>
          </cell>
        </row>
        <row r="747">
          <cell r="Q747">
            <v>2957.09</v>
          </cell>
        </row>
        <row r="748">
          <cell r="Q748">
            <v>699.99914660000002</v>
          </cell>
        </row>
        <row r="749">
          <cell r="Q749">
            <v>340.47692602699999</v>
          </cell>
        </row>
        <row r="750">
          <cell r="Q750">
            <v>1040.9749773000001</v>
          </cell>
        </row>
        <row r="751">
          <cell r="Q751">
            <v>0</v>
          </cell>
        </row>
        <row r="752">
          <cell r="Q752">
            <v>0</v>
          </cell>
        </row>
        <row r="753">
          <cell r="Q753">
            <v>0</v>
          </cell>
        </row>
        <row r="754">
          <cell r="Q754">
            <v>0</v>
          </cell>
        </row>
        <row r="755">
          <cell r="Q755">
            <v>0</v>
          </cell>
        </row>
        <row r="756">
          <cell r="Q756">
            <v>0</v>
          </cell>
        </row>
        <row r="757">
          <cell r="Q757">
            <v>0</v>
          </cell>
        </row>
        <row r="758">
          <cell r="Q758">
            <v>0</v>
          </cell>
        </row>
        <row r="759">
          <cell r="Q759">
            <v>0</v>
          </cell>
        </row>
        <row r="760">
          <cell r="Q760">
            <v>0</v>
          </cell>
        </row>
        <row r="761">
          <cell r="Q761">
            <v>0</v>
          </cell>
        </row>
        <row r="762">
          <cell r="Q762">
            <v>0</v>
          </cell>
        </row>
        <row r="763">
          <cell r="Q763">
            <v>0</v>
          </cell>
        </row>
        <row r="764">
          <cell r="Q764">
            <v>0</v>
          </cell>
        </row>
        <row r="765">
          <cell r="Q765">
            <v>0</v>
          </cell>
          <cell r="R765">
            <v>0</v>
          </cell>
        </row>
        <row r="766">
          <cell r="Q766">
            <v>0</v>
          </cell>
          <cell r="R766">
            <v>0</v>
          </cell>
        </row>
        <row r="767">
          <cell r="Q767">
            <v>0</v>
          </cell>
          <cell r="R767">
            <v>0</v>
          </cell>
        </row>
        <row r="768">
          <cell r="Q768">
            <v>0</v>
          </cell>
          <cell r="R768">
            <v>162.99200020000001</v>
          </cell>
        </row>
        <row r="769">
          <cell r="Q769">
            <v>0</v>
          </cell>
          <cell r="R769">
            <v>0</v>
          </cell>
        </row>
        <row r="770">
          <cell r="Q770">
            <v>0</v>
          </cell>
          <cell r="R770">
            <v>0</v>
          </cell>
        </row>
        <row r="771">
          <cell r="Q771">
            <v>0</v>
          </cell>
          <cell r="R771">
            <v>0</v>
          </cell>
        </row>
        <row r="772">
          <cell r="Q772">
            <v>0</v>
          </cell>
          <cell r="R772">
            <v>0</v>
          </cell>
        </row>
        <row r="773">
          <cell r="Q773">
            <v>0</v>
          </cell>
          <cell r="R773">
            <v>0</v>
          </cell>
        </row>
        <row r="774">
          <cell r="Q774">
            <v>0</v>
          </cell>
          <cell r="R774">
            <v>0</v>
          </cell>
        </row>
        <row r="775">
          <cell r="Q775">
            <v>0</v>
          </cell>
          <cell r="R775">
            <v>0</v>
          </cell>
        </row>
        <row r="776">
          <cell r="Q776">
            <v>0</v>
          </cell>
          <cell r="R776">
            <v>0</v>
          </cell>
        </row>
        <row r="777">
          <cell r="Q777">
            <v>0</v>
          </cell>
          <cell r="R777">
            <v>0</v>
          </cell>
        </row>
        <row r="778">
          <cell r="Q778">
            <v>0</v>
          </cell>
          <cell r="R778">
            <v>0</v>
          </cell>
        </row>
        <row r="779">
          <cell r="Q779">
            <v>0</v>
          </cell>
          <cell r="R779">
            <v>0</v>
          </cell>
        </row>
        <row r="780">
          <cell r="Q780">
            <v>0</v>
          </cell>
          <cell r="R780">
            <v>0</v>
          </cell>
        </row>
        <row r="781">
          <cell r="Q781">
            <v>0</v>
          </cell>
          <cell r="R781">
            <v>0</v>
          </cell>
        </row>
        <row r="782">
          <cell r="Q782">
            <v>0</v>
          </cell>
          <cell r="R782">
            <v>0</v>
          </cell>
        </row>
        <row r="783">
          <cell r="Q783">
            <v>0</v>
          </cell>
          <cell r="R783">
            <v>0</v>
          </cell>
        </row>
        <row r="784">
          <cell r="Q784">
            <v>0</v>
          </cell>
          <cell r="R784">
            <v>0</v>
          </cell>
        </row>
        <row r="785">
          <cell r="Q785">
            <v>0</v>
          </cell>
          <cell r="R785">
            <v>0</v>
          </cell>
        </row>
        <row r="786">
          <cell r="Q786">
            <v>0</v>
          </cell>
          <cell r="R786">
            <v>0</v>
          </cell>
        </row>
        <row r="787">
          <cell r="Q787">
            <v>0</v>
          </cell>
          <cell r="R787">
            <v>0</v>
          </cell>
        </row>
        <row r="788">
          <cell r="Q788">
            <v>0</v>
          </cell>
          <cell r="R788">
            <v>0</v>
          </cell>
        </row>
        <row r="789">
          <cell r="Q789">
            <v>0</v>
          </cell>
          <cell r="R789">
            <v>0</v>
          </cell>
        </row>
        <row r="790">
          <cell r="Q790">
            <v>0</v>
          </cell>
          <cell r="R790">
            <v>0</v>
          </cell>
        </row>
        <row r="791">
          <cell r="Q791">
            <v>0</v>
          </cell>
          <cell r="R791">
            <v>0</v>
          </cell>
        </row>
        <row r="792">
          <cell r="Q792">
            <v>0</v>
          </cell>
          <cell r="R792">
            <v>0</v>
          </cell>
        </row>
        <row r="793">
          <cell r="Q793">
            <v>0</v>
          </cell>
          <cell r="R793">
            <v>0</v>
          </cell>
        </row>
        <row r="794">
          <cell r="Q794">
            <v>0</v>
          </cell>
          <cell r="R794">
            <v>5386.5228864999999</v>
          </cell>
        </row>
        <row r="795">
          <cell r="Q795">
            <v>0</v>
          </cell>
          <cell r="R795">
            <v>2.3858334000000001</v>
          </cell>
        </row>
        <row r="796">
          <cell r="Q796">
            <v>0</v>
          </cell>
          <cell r="R796">
            <v>130.65651679999999</v>
          </cell>
        </row>
        <row r="797">
          <cell r="Q797">
            <v>0</v>
          </cell>
          <cell r="R797">
            <v>0</v>
          </cell>
        </row>
        <row r="798">
          <cell r="Q798">
            <v>0</v>
          </cell>
          <cell r="R798">
            <v>8.3397207000000009</v>
          </cell>
        </row>
        <row r="799">
          <cell r="Q799">
            <v>0</v>
          </cell>
          <cell r="R799">
            <v>63.9000001</v>
          </cell>
        </row>
        <row r="800">
          <cell r="Q800">
            <v>0</v>
          </cell>
          <cell r="R800">
            <v>3.4972167999999999</v>
          </cell>
        </row>
        <row r="801">
          <cell r="Q801">
            <v>0</v>
          </cell>
          <cell r="R801">
            <v>61.787818799999997</v>
          </cell>
        </row>
        <row r="802">
          <cell r="Q802">
            <v>0</v>
          </cell>
          <cell r="R802">
            <v>0</v>
          </cell>
        </row>
        <row r="803">
          <cell r="Q803">
            <v>0</v>
          </cell>
          <cell r="R803">
            <v>0</v>
          </cell>
        </row>
        <row r="804">
          <cell r="Q804">
            <v>0</v>
          </cell>
          <cell r="R804">
            <v>3.0578055000000002</v>
          </cell>
        </row>
        <row r="805">
          <cell r="Q805">
            <v>0</v>
          </cell>
          <cell r="R805">
            <v>10.5760197</v>
          </cell>
        </row>
        <row r="806">
          <cell r="Q806">
            <v>0</v>
          </cell>
          <cell r="R806">
            <v>0</v>
          </cell>
        </row>
        <row r="807">
          <cell r="Q807">
            <v>0</v>
          </cell>
          <cell r="R807">
            <v>0</v>
          </cell>
        </row>
        <row r="808">
          <cell r="Q808">
            <v>0</v>
          </cell>
          <cell r="R808">
            <v>0</v>
          </cell>
        </row>
        <row r="809">
          <cell r="Q809">
            <v>0</v>
          </cell>
          <cell r="R809">
            <v>1.5491785</v>
          </cell>
        </row>
        <row r="810">
          <cell r="Q810">
            <v>0</v>
          </cell>
          <cell r="R810">
            <v>0.30625279999999999</v>
          </cell>
        </row>
        <row r="811">
          <cell r="Q811">
            <v>0</v>
          </cell>
          <cell r="R811">
            <v>3.8266035</v>
          </cell>
        </row>
        <row r="812">
          <cell r="Q812">
            <v>0</v>
          </cell>
          <cell r="R812">
            <v>3.8987311</v>
          </cell>
        </row>
        <row r="813">
          <cell r="Q813">
            <v>0</v>
          </cell>
          <cell r="R813">
            <v>0</v>
          </cell>
        </row>
        <row r="814">
          <cell r="Q814">
            <v>0</v>
          </cell>
          <cell r="R814">
            <v>3.2433709999999998</v>
          </cell>
        </row>
        <row r="815">
          <cell r="Q815">
            <v>0</v>
          </cell>
          <cell r="R815">
            <v>0</v>
          </cell>
        </row>
        <row r="816">
          <cell r="Q816">
            <v>0</v>
          </cell>
          <cell r="R816">
            <v>0</v>
          </cell>
        </row>
        <row r="817">
          <cell r="Q817">
            <v>0</v>
          </cell>
          <cell r="R817">
            <v>6.8300953</v>
          </cell>
        </row>
        <row r="818">
          <cell r="Q818">
            <v>0</v>
          </cell>
          <cell r="R818">
            <v>16.542000000000002</v>
          </cell>
        </row>
        <row r="819">
          <cell r="Q819">
            <v>0</v>
          </cell>
          <cell r="R819">
            <v>9.5924212999999998</v>
          </cell>
        </row>
        <row r="820">
          <cell r="Q820">
            <v>0</v>
          </cell>
          <cell r="R820">
            <v>5.6213328000000002</v>
          </cell>
        </row>
        <row r="821">
          <cell r="Q821">
            <v>0</v>
          </cell>
          <cell r="R821">
            <v>0</v>
          </cell>
        </row>
        <row r="822">
          <cell r="Q822">
            <v>0</v>
          </cell>
          <cell r="R822">
            <v>0.72072429999999998</v>
          </cell>
        </row>
        <row r="823">
          <cell r="Q823">
            <v>0</v>
          </cell>
          <cell r="R823">
            <v>3.0271883000000002</v>
          </cell>
        </row>
        <row r="824">
          <cell r="Q824">
            <v>0</v>
          </cell>
          <cell r="R824">
            <v>0.8689519</v>
          </cell>
        </row>
        <row r="825">
          <cell r="Q825">
            <v>0</v>
          </cell>
          <cell r="R825">
            <v>2.8093224999999999</v>
          </cell>
        </row>
        <row r="826">
          <cell r="Q826">
            <v>0</v>
          </cell>
          <cell r="R826">
            <v>0</v>
          </cell>
        </row>
        <row r="827">
          <cell r="Q827">
            <v>0</v>
          </cell>
          <cell r="R827">
            <v>0</v>
          </cell>
        </row>
        <row r="828">
          <cell r="Q828">
            <v>0</v>
          </cell>
          <cell r="R828">
            <v>0</v>
          </cell>
        </row>
        <row r="829">
          <cell r="Q829">
            <v>0</v>
          </cell>
          <cell r="R829">
            <v>0</v>
          </cell>
        </row>
        <row r="830">
          <cell r="Q830">
            <v>0</v>
          </cell>
          <cell r="R830">
            <v>0</v>
          </cell>
        </row>
        <row r="831">
          <cell r="Q831">
            <v>0</v>
          </cell>
          <cell r="R831">
            <v>0</v>
          </cell>
        </row>
        <row r="832">
          <cell r="Q832">
            <v>0</v>
          </cell>
          <cell r="R832">
            <v>0</v>
          </cell>
        </row>
        <row r="833">
          <cell r="Q833">
            <v>0</v>
          </cell>
          <cell r="R833">
            <v>0</v>
          </cell>
        </row>
        <row r="834">
          <cell r="Q834">
            <v>0</v>
          </cell>
          <cell r="R834">
            <v>0</v>
          </cell>
        </row>
        <row r="835">
          <cell r="Q835">
            <v>0</v>
          </cell>
          <cell r="R835">
            <v>425.97326980000003</v>
          </cell>
        </row>
        <row r="836">
          <cell r="Q836">
            <v>0</v>
          </cell>
          <cell r="R836">
            <v>1703.2922977000001</v>
          </cell>
        </row>
        <row r="837">
          <cell r="D837">
            <v>53073</v>
          </cell>
          <cell r="E837" t="str">
            <v>PFC LTL-21540002 (Project-Gare Palma)</v>
          </cell>
          <cell r="Q837">
            <v>0</v>
          </cell>
          <cell r="R837">
            <v>180</v>
          </cell>
        </row>
        <row r="838">
          <cell r="D838">
            <v>53074</v>
          </cell>
          <cell r="E838" t="str">
            <v>PFC LTL-21504090 (Capex-Bhusawal TPS)</v>
          </cell>
          <cell r="Q838">
            <v>0</v>
          </cell>
          <cell r="R838">
            <v>3.6241050000000001</v>
          </cell>
        </row>
        <row r="839">
          <cell r="D839">
            <v>53075</v>
          </cell>
          <cell r="E839" t="str">
            <v>PFC LTL-21504091 (Capex-Nasik TPS)</v>
          </cell>
          <cell r="Q839">
            <v>0</v>
          </cell>
          <cell r="R839">
            <v>1.7411399000000001</v>
          </cell>
        </row>
        <row r="840">
          <cell r="Q840">
            <v>0</v>
          </cell>
          <cell r="R840">
            <v>4.4467920000000003</v>
          </cell>
        </row>
        <row r="841">
          <cell r="Q841">
            <v>0</v>
          </cell>
          <cell r="R841">
            <v>10.65</v>
          </cell>
        </row>
        <row r="842">
          <cell r="D842">
            <v>53081</v>
          </cell>
          <cell r="E842" t="str">
            <v>PFC LTL-21504097 (Capex-Pune REC circle</v>
          </cell>
          <cell r="Q842">
            <v>0</v>
          </cell>
          <cell r="R842">
            <v>5.2247079000000003</v>
          </cell>
        </row>
        <row r="843">
          <cell r="Q843">
            <v>0</v>
          </cell>
          <cell r="R843">
            <v>52.018154899999999</v>
          </cell>
        </row>
        <row r="844">
          <cell r="Q844">
            <v>0</v>
          </cell>
          <cell r="R844">
            <v>45.52</v>
          </cell>
        </row>
        <row r="845">
          <cell r="Q845">
            <v>0</v>
          </cell>
          <cell r="R845">
            <v>96.199848000000003</v>
          </cell>
        </row>
        <row r="846">
          <cell r="Q846">
            <v>0</v>
          </cell>
          <cell r="R846">
            <v>14.232575900000001</v>
          </cell>
        </row>
        <row r="847">
          <cell r="Q847">
            <v>0</v>
          </cell>
          <cell r="R847">
            <v>1292.9743351</v>
          </cell>
        </row>
        <row r="848">
          <cell r="Q848">
            <v>0</v>
          </cell>
          <cell r="R848">
            <v>2452.2176064</v>
          </cell>
        </row>
        <row r="849">
          <cell r="Q849">
            <v>0</v>
          </cell>
          <cell r="R849">
            <v>684.71516659999998</v>
          </cell>
        </row>
        <row r="850">
          <cell r="Q850">
            <v>0</v>
          </cell>
          <cell r="R850">
            <v>4.1258382999999998</v>
          </cell>
        </row>
        <row r="851">
          <cell r="Q851">
            <v>0</v>
          </cell>
          <cell r="R851">
            <v>0</v>
          </cell>
        </row>
        <row r="852">
          <cell r="Q852">
            <v>0</v>
          </cell>
          <cell r="R852">
            <v>0</v>
          </cell>
        </row>
        <row r="853">
          <cell r="Q853">
            <v>0</v>
          </cell>
          <cell r="R853">
            <v>0</v>
          </cell>
        </row>
        <row r="854">
          <cell r="Q854">
            <v>0</v>
          </cell>
          <cell r="R854">
            <v>0</v>
          </cell>
        </row>
        <row r="855">
          <cell r="Q855">
            <v>0</v>
          </cell>
          <cell r="R855">
            <v>0</v>
          </cell>
        </row>
        <row r="856">
          <cell r="Q856">
            <v>0</v>
          </cell>
          <cell r="R856">
            <v>0</v>
          </cell>
        </row>
        <row r="857">
          <cell r="Q857">
            <v>0</v>
          </cell>
          <cell r="R857">
            <v>0</v>
          </cell>
        </row>
        <row r="858">
          <cell r="Q858">
            <v>0</v>
          </cell>
          <cell r="R858">
            <v>0</v>
          </cell>
        </row>
        <row r="859">
          <cell r="Q859">
            <v>0</v>
          </cell>
          <cell r="R859">
            <v>518.9473686</v>
          </cell>
        </row>
        <row r="860">
          <cell r="Q860">
            <v>0</v>
          </cell>
          <cell r="R860">
            <v>75.732340600000001</v>
          </cell>
        </row>
        <row r="861">
          <cell r="Q861">
            <v>0</v>
          </cell>
          <cell r="R861">
            <v>9.7758293999999992</v>
          </cell>
        </row>
        <row r="862">
          <cell r="Q862">
            <v>0</v>
          </cell>
          <cell r="R862">
            <v>11.407545499999999</v>
          </cell>
        </row>
        <row r="863">
          <cell r="Q863">
            <v>0</v>
          </cell>
          <cell r="R863">
            <v>6.6921265999999999</v>
          </cell>
        </row>
        <row r="864">
          <cell r="Q864">
            <v>0</v>
          </cell>
          <cell r="R864">
            <v>6.9048667000000004</v>
          </cell>
        </row>
        <row r="865">
          <cell r="Q865">
            <v>0</v>
          </cell>
          <cell r="R865">
            <v>0</v>
          </cell>
        </row>
        <row r="866">
          <cell r="Q866">
            <v>0</v>
          </cell>
          <cell r="R866">
            <v>6.9585178000000001</v>
          </cell>
        </row>
        <row r="867">
          <cell r="Q867">
            <v>0</v>
          </cell>
          <cell r="R867">
            <v>7.4098066999999999</v>
          </cell>
        </row>
        <row r="868">
          <cell r="Q868">
            <v>0</v>
          </cell>
          <cell r="R868">
            <v>22.9069626</v>
          </cell>
        </row>
        <row r="869">
          <cell r="Q869">
            <v>0</v>
          </cell>
          <cell r="R869">
            <v>5.9203757000000001</v>
          </cell>
        </row>
        <row r="870">
          <cell r="Q870">
            <v>0</v>
          </cell>
          <cell r="R870">
            <v>8.5747157999999999</v>
          </cell>
        </row>
        <row r="871">
          <cell r="Q871">
            <v>0</v>
          </cell>
          <cell r="R871">
            <v>8.5249830000000006</v>
          </cell>
        </row>
        <row r="872">
          <cell r="Q872">
            <v>0</v>
          </cell>
          <cell r="R872">
            <v>10.569375000000001</v>
          </cell>
        </row>
        <row r="873">
          <cell r="Q873">
            <v>0</v>
          </cell>
          <cell r="R873">
            <v>11.216977099999999</v>
          </cell>
        </row>
        <row r="874">
          <cell r="Q874">
            <v>0</v>
          </cell>
          <cell r="R874">
            <v>9.3786509000000002</v>
          </cell>
        </row>
        <row r="875">
          <cell r="Q875">
            <v>0</v>
          </cell>
          <cell r="R875">
            <v>8.4183070000000004</v>
          </cell>
        </row>
        <row r="876">
          <cell r="Q876">
            <v>0</v>
          </cell>
          <cell r="R876">
            <v>19.602240399999999</v>
          </cell>
        </row>
        <row r="877">
          <cell r="Q877">
            <v>0</v>
          </cell>
          <cell r="R877">
            <v>2.9195060000000002</v>
          </cell>
        </row>
        <row r="878">
          <cell r="Q878">
            <v>0</v>
          </cell>
          <cell r="R878">
            <v>32.5846193</v>
          </cell>
        </row>
        <row r="879">
          <cell r="Q879">
            <v>0</v>
          </cell>
          <cell r="R879">
            <v>2.4792399999999999E-2</v>
          </cell>
        </row>
        <row r="880">
          <cell r="Q880">
            <v>0</v>
          </cell>
          <cell r="R880">
            <v>12.4984953</v>
          </cell>
        </row>
        <row r="881">
          <cell r="Q881">
            <v>0</v>
          </cell>
          <cell r="R881">
            <v>27.9445041</v>
          </cell>
        </row>
        <row r="882">
          <cell r="Q882">
            <v>0</v>
          </cell>
          <cell r="R882">
            <v>5.8080921999999999</v>
          </cell>
        </row>
        <row r="883">
          <cell r="Q883">
            <v>0</v>
          </cell>
          <cell r="R883">
            <v>6.8357929000000004</v>
          </cell>
        </row>
        <row r="884">
          <cell r="Q884">
            <v>0</v>
          </cell>
          <cell r="R884">
            <v>7.1117455999999999</v>
          </cell>
        </row>
        <row r="885">
          <cell r="Q885">
            <v>0</v>
          </cell>
          <cell r="R885">
            <v>8.6474250000000001</v>
          </cell>
        </row>
        <row r="886">
          <cell r="Q886">
            <v>0</v>
          </cell>
          <cell r="R886">
            <v>0</v>
          </cell>
        </row>
        <row r="887">
          <cell r="Q887">
            <v>0</v>
          </cell>
          <cell r="R887">
            <v>6.2153613999999999</v>
          </cell>
        </row>
        <row r="888">
          <cell r="Q888">
            <v>0</v>
          </cell>
          <cell r="R888">
            <v>0</v>
          </cell>
        </row>
        <row r="889">
          <cell r="Q889">
            <v>0</v>
          </cell>
          <cell r="R889">
            <v>7.8648420000000003</v>
          </cell>
        </row>
        <row r="890">
          <cell r="Q890">
            <v>0</v>
          </cell>
          <cell r="R890">
            <v>9.7693112000000006</v>
          </cell>
        </row>
        <row r="891">
          <cell r="Q891">
            <v>0</v>
          </cell>
          <cell r="R891">
            <v>20.5739999</v>
          </cell>
        </row>
        <row r="892">
          <cell r="Q892">
            <v>0</v>
          </cell>
          <cell r="R892">
            <v>6.5693298000000002</v>
          </cell>
        </row>
        <row r="893">
          <cell r="Q893">
            <v>0</v>
          </cell>
          <cell r="R893">
            <v>5.4232889999999996</v>
          </cell>
        </row>
        <row r="894">
          <cell r="Q894">
            <v>0</v>
          </cell>
          <cell r="R894">
            <v>11.301306200000001</v>
          </cell>
        </row>
        <row r="895">
          <cell r="Q895">
            <v>0</v>
          </cell>
          <cell r="R895">
            <v>12.778424899999999</v>
          </cell>
        </row>
        <row r="896">
          <cell r="Q896">
            <v>0</v>
          </cell>
          <cell r="R896">
            <v>1.7020432000000001</v>
          </cell>
        </row>
        <row r="897">
          <cell r="Q897">
            <v>0</v>
          </cell>
          <cell r="R897">
            <v>18.334464000000001</v>
          </cell>
        </row>
        <row r="898">
          <cell r="Q898">
            <v>0</v>
          </cell>
          <cell r="R898">
            <v>86.348382599999994</v>
          </cell>
        </row>
        <row r="899">
          <cell r="Q899">
            <v>0</v>
          </cell>
          <cell r="R899">
            <v>0</v>
          </cell>
        </row>
        <row r="900">
          <cell r="Q900">
            <v>0</v>
          </cell>
          <cell r="R900">
            <v>14.5321403</v>
          </cell>
        </row>
        <row r="901">
          <cell r="Q901">
            <v>0</v>
          </cell>
          <cell r="R901">
            <v>6.6707595</v>
          </cell>
        </row>
        <row r="902">
          <cell r="Q902">
            <v>0</v>
          </cell>
          <cell r="R902">
            <v>8.0385167000000006</v>
          </cell>
        </row>
        <row r="903">
          <cell r="Q903">
            <v>0</v>
          </cell>
          <cell r="R903">
            <v>7.5076672999999996</v>
          </cell>
        </row>
        <row r="904">
          <cell r="Q904">
            <v>0</v>
          </cell>
          <cell r="R904">
            <v>5.8969554999999998</v>
          </cell>
        </row>
        <row r="905">
          <cell r="Q905">
            <v>0</v>
          </cell>
          <cell r="R905">
            <v>7.7961102000000002</v>
          </cell>
        </row>
        <row r="906">
          <cell r="Q906">
            <v>0</v>
          </cell>
          <cell r="R906">
            <v>8.6771002999999993</v>
          </cell>
        </row>
        <row r="907">
          <cell r="Q907">
            <v>0</v>
          </cell>
          <cell r="R907">
            <v>10.2142953</v>
          </cell>
        </row>
        <row r="908">
          <cell r="Q908">
            <v>0</v>
          </cell>
          <cell r="R908">
            <v>7.0548152999999996</v>
          </cell>
        </row>
        <row r="909">
          <cell r="Q909">
            <v>0</v>
          </cell>
          <cell r="R909">
            <v>1.7778337</v>
          </cell>
        </row>
        <row r="910">
          <cell r="Q910">
            <v>0</v>
          </cell>
          <cell r="R910">
            <v>32.11</v>
          </cell>
        </row>
        <row r="911">
          <cell r="Q911">
            <v>0</v>
          </cell>
          <cell r="R911">
            <v>8.1508176999999993</v>
          </cell>
        </row>
        <row r="912">
          <cell r="Q912">
            <v>0</v>
          </cell>
          <cell r="R912">
            <v>8.1414878999999996</v>
          </cell>
        </row>
        <row r="913">
          <cell r="Q913">
            <v>0</v>
          </cell>
          <cell r="R913">
            <v>8.3141943999999999</v>
          </cell>
        </row>
        <row r="914">
          <cell r="Q914">
            <v>0</v>
          </cell>
          <cell r="R914">
            <v>0</v>
          </cell>
        </row>
        <row r="915">
          <cell r="Q915">
            <v>0</v>
          </cell>
          <cell r="R915">
            <v>16.283950000000001</v>
          </cell>
        </row>
        <row r="916">
          <cell r="Q916">
            <v>0</v>
          </cell>
          <cell r="R916">
            <v>6.4791999999999996</v>
          </cell>
        </row>
        <row r="917">
          <cell r="Q917">
            <v>0</v>
          </cell>
          <cell r="R917">
            <v>0</v>
          </cell>
        </row>
        <row r="918">
          <cell r="Q918">
            <v>0</v>
          </cell>
          <cell r="R918">
            <v>10.694736000000001</v>
          </cell>
        </row>
        <row r="919">
          <cell r="Q919">
            <v>0</v>
          </cell>
          <cell r="R919">
            <v>3.2695399999999999E-2</v>
          </cell>
        </row>
        <row r="920">
          <cell r="Q920">
            <v>0</v>
          </cell>
          <cell r="R920">
            <v>6.1399996000000003</v>
          </cell>
        </row>
        <row r="921">
          <cell r="Q921">
            <v>0</v>
          </cell>
          <cell r="R921">
            <v>17.326641800000001</v>
          </cell>
        </row>
        <row r="922">
          <cell r="Q922">
            <v>0</v>
          </cell>
          <cell r="R922">
            <v>7.2305999999999999</v>
          </cell>
        </row>
        <row r="923">
          <cell r="Q923">
            <v>0</v>
          </cell>
          <cell r="R923">
            <v>5.8760000000000003</v>
          </cell>
        </row>
        <row r="924">
          <cell r="Q924">
            <v>0</v>
          </cell>
          <cell r="R924">
            <v>0</v>
          </cell>
        </row>
        <row r="925">
          <cell r="Q925">
            <v>0</v>
          </cell>
          <cell r="R925">
            <v>5.5124997999999996</v>
          </cell>
        </row>
        <row r="926">
          <cell r="Q926">
            <v>0</v>
          </cell>
          <cell r="R926">
            <v>3353.6356031</v>
          </cell>
        </row>
        <row r="927">
          <cell r="D927">
            <v>53381</v>
          </cell>
          <cell r="Q927">
            <v>0</v>
          </cell>
          <cell r="R927">
            <v>17.289903200000001</v>
          </cell>
        </row>
        <row r="928">
          <cell r="D928">
            <v>53382</v>
          </cell>
          <cell r="Q928">
            <v>0</v>
          </cell>
          <cell r="R928">
            <v>9.4136000000000006</v>
          </cell>
        </row>
        <row r="929">
          <cell r="D929">
            <v>53383</v>
          </cell>
          <cell r="Q929">
            <v>0</v>
          </cell>
          <cell r="R929">
            <v>9.5614854999999999</v>
          </cell>
        </row>
        <row r="930">
          <cell r="D930">
            <v>53384</v>
          </cell>
          <cell r="Q930">
            <v>0</v>
          </cell>
          <cell r="R930">
            <v>57.690738400000001</v>
          </cell>
        </row>
        <row r="931">
          <cell r="D931">
            <v>53385</v>
          </cell>
          <cell r="Q931">
            <v>0</v>
          </cell>
          <cell r="R931">
            <v>10.880226800000001</v>
          </cell>
        </row>
        <row r="932">
          <cell r="D932">
            <v>53386</v>
          </cell>
          <cell r="Q932">
            <v>0</v>
          </cell>
          <cell r="R932">
            <v>0</v>
          </cell>
        </row>
        <row r="933">
          <cell r="D933">
            <v>53387</v>
          </cell>
          <cell r="Q933">
            <v>0</v>
          </cell>
          <cell r="R933">
            <v>6.4512</v>
          </cell>
        </row>
        <row r="934">
          <cell r="D934">
            <v>53388</v>
          </cell>
          <cell r="Q934">
            <v>0</v>
          </cell>
          <cell r="R934">
            <v>5.4758693999999997</v>
          </cell>
        </row>
        <row r="935">
          <cell r="D935">
            <v>53389</v>
          </cell>
          <cell r="Q935">
            <v>0</v>
          </cell>
          <cell r="R935">
            <v>6.5156670999999999</v>
          </cell>
        </row>
        <row r="936">
          <cell r="D936">
            <v>53390</v>
          </cell>
          <cell r="Q936">
            <v>0</v>
          </cell>
          <cell r="R936">
            <v>14.205780000000001</v>
          </cell>
        </row>
        <row r="937">
          <cell r="D937">
            <v>53391</v>
          </cell>
          <cell r="Q937">
            <v>0</v>
          </cell>
          <cell r="R937">
            <v>11.645877799999999</v>
          </cell>
        </row>
        <row r="938">
          <cell r="D938">
            <v>53392</v>
          </cell>
          <cell r="Q938">
            <v>0</v>
          </cell>
          <cell r="R938">
            <v>7.420248</v>
          </cell>
        </row>
        <row r="939">
          <cell r="D939">
            <v>53393</v>
          </cell>
          <cell r="Q939">
            <v>0</v>
          </cell>
          <cell r="R939">
            <v>0</v>
          </cell>
        </row>
        <row r="940">
          <cell r="D940">
            <v>53394</v>
          </cell>
          <cell r="Q940">
            <v>0</v>
          </cell>
          <cell r="R940">
            <v>8.0041344999999993</v>
          </cell>
        </row>
        <row r="941">
          <cell r="D941">
            <v>53395</v>
          </cell>
          <cell r="Q941">
            <v>0</v>
          </cell>
          <cell r="R941">
            <v>6.2682000000000002</v>
          </cell>
        </row>
        <row r="942">
          <cell r="D942">
            <v>53396</v>
          </cell>
          <cell r="Q942">
            <v>0</v>
          </cell>
          <cell r="R942">
            <v>7.2118501000000004</v>
          </cell>
        </row>
        <row r="943">
          <cell r="D943">
            <v>53397</v>
          </cell>
          <cell r="Q943">
            <v>0</v>
          </cell>
          <cell r="R943">
            <v>6.7874227579999999</v>
          </cell>
        </row>
        <row r="944">
          <cell r="D944">
            <v>53398</v>
          </cell>
          <cell r="Q944">
            <v>0</v>
          </cell>
          <cell r="R944">
            <v>5.2457022999999996</v>
          </cell>
        </row>
        <row r="945">
          <cell r="D945">
            <v>53399</v>
          </cell>
          <cell r="Q945">
            <v>0</v>
          </cell>
          <cell r="R945">
            <v>1.53</v>
          </cell>
        </row>
        <row r="946">
          <cell r="D946">
            <v>53400</v>
          </cell>
          <cell r="Q946">
            <v>0</v>
          </cell>
          <cell r="R946">
            <v>6.7519999999999998</v>
          </cell>
        </row>
        <row r="947">
          <cell r="D947">
            <v>53440</v>
          </cell>
          <cell r="E947" t="str">
            <v>REC LT - 14661 (Capex - Koradi TPS)</v>
          </cell>
          <cell r="Q947">
            <v>0</v>
          </cell>
          <cell r="R947">
            <v>3.0969989999999998</v>
          </cell>
        </row>
        <row r="948">
          <cell r="R948">
            <v>0</v>
          </cell>
        </row>
        <row r="949">
          <cell r="R949">
            <v>0</v>
          </cell>
        </row>
        <row r="950">
          <cell r="R950">
            <v>0</v>
          </cell>
        </row>
        <row r="951">
          <cell r="R951">
            <v>0</v>
          </cell>
        </row>
        <row r="952">
          <cell r="R952">
            <v>0</v>
          </cell>
        </row>
        <row r="953">
          <cell r="R953">
            <v>0</v>
          </cell>
        </row>
        <row r="954">
          <cell r="R954">
            <v>0</v>
          </cell>
        </row>
        <row r="955">
          <cell r="R955">
            <v>0</v>
          </cell>
        </row>
        <row r="956">
          <cell r="R956">
            <v>0</v>
          </cell>
        </row>
        <row r="957">
          <cell r="R957">
            <v>0</v>
          </cell>
        </row>
        <row r="958">
          <cell r="R958">
            <v>0</v>
          </cell>
        </row>
        <row r="959">
          <cell r="R959">
            <v>0</v>
          </cell>
        </row>
        <row r="960">
          <cell r="R960">
            <v>0</v>
          </cell>
        </row>
        <row r="961">
          <cell r="R961">
            <v>0</v>
          </cell>
        </row>
        <row r="962">
          <cell r="R962">
            <v>0</v>
          </cell>
        </row>
        <row r="963">
          <cell r="R963">
            <v>0</v>
          </cell>
        </row>
        <row r="964">
          <cell r="R964">
            <v>0</v>
          </cell>
        </row>
        <row r="965">
          <cell r="R965">
            <v>259.04657539999999</v>
          </cell>
        </row>
        <row r="966">
          <cell r="R966">
            <v>0</v>
          </cell>
        </row>
        <row r="967">
          <cell r="R967">
            <v>0</v>
          </cell>
        </row>
        <row r="968">
          <cell r="R968">
            <v>41.243363357999996</v>
          </cell>
        </row>
        <row r="969">
          <cell r="R969">
            <v>894.23418549999997</v>
          </cell>
        </row>
        <row r="970">
          <cell r="D970">
            <v>53423</v>
          </cell>
          <cell r="E970" t="str">
            <v>REC LT-16770(Project-Gare Palma)</v>
          </cell>
          <cell r="R970">
            <v>355.7161997</v>
          </cell>
        </row>
        <row r="971">
          <cell r="D971">
            <v>53424</v>
          </cell>
          <cell r="E971" t="str">
            <v>REC LT-15643(Capex-Chandrapur TPS)</v>
          </cell>
          <cell r="R971">
            <v>2.9999703000000002</v>
          </cell>
        </row>
        <row r="972">
          <cell r="D972">
            <v>53426</v>
          </cell>
          <cell r="E972" t="str">
            <v>REC LT-15654(Capex-Chandrapur TPS)</v>
          </cell>
          <cell r="R972">
            <v>14.4117333</v>
          </cell>
        </row>
        <row r="973">
          <cell r="D973">
            <v>53427</v>
          </cell>
          <cell r="E973" t="str">
            <v>REC LT-15655(Capex-Uran GTPS)</v>
          </cell>
          <cell r="R973">
            <v>4.8193489999999999</v>
          </cell>
        </row>
        <row r="974">
          <cell r="D974">
            <v>53428</v>
          </cell>
          <cell r="E974" t="str">
            <v>REC LT-15656(Capex-Paras TPS)</v>
          </cell>
          <cell r="R974">
            <v>5.4884976999999999</v>
          </cell>
        </row>
        <row r="975">
          <cell r="D975">
            <v>53430</v>
          </cell>
          <cell r="E975" t="str">
            <v>REC LT-16052(Capex-Chandrapur TPS)</v>
          </cell>
          <cell r="R975">
            <v>26.9</v>
          </cell>
        </row>
        <row r="976">
          <cell r="D976">
            <v>53433</v>
          </cell>
          <cell r="E976" t="str">
            <v>REC LT-16055(Capex-Chandrapur TPS)</v>
          </cell>
          <cell r="R976">
            <v>7.8099539</v>
          </cell>
        </row>
        <row r="977">
          <cell r="D977">
            <v>53435</v>
          </cell>
          <cell r="E977" t="str">
            <v>REC LT-16057(Capex-Koradi TPS)</v>
          </cell>
          <cell r="R977">
            <v>16.017539800000002</v>
          </cell>
        </row>
        <row r="978">
          <cell r="R978">
            <v>17.079090999999998</v>
          </cell>
        </row>
        <row r="979">
          <cell r="Q979">
            <v>0</v>
          </cell>
          <cell r="R979">
            <v>0</v>
          </cell>
        </row>
        <row r="980">
          <cell r="Q980">
            <v>0</v>
          </cell>
          <cell r="R980">
            <v>0</v>
          </cell>
        </row>
        <row r="981">
          <cell r="Q981">
            <v>0</v>
          </cell>
          <cell r="R981">
            <v>0</v>
          </cell>
        </row>
        <row r="982">
          <cell r="Q982">
            <v>0</v>
          </cell>
          <cell r="R982">
            <v>0</v>
          </cell>
        </row>
        <row r="983">
          <cell r="Q983">
            <v>0</v>
          </cell>
          <cell r="R983">
            <v>0</v>
          </cell>
        </row>
        <row r="984">
          <cell r="Q984">
            <v>0</v>
          </cell>
          <cell r="R984">
            <v>0</v>
          </cell>
        </row>
        <row r="985">
          <cell r="Q985">
            <v>0</v>
          </cell>
          <cell r="R985">
            <v>0</v>
          </cell>
        </row>
        <row r="986">
          <cell r="Q986">
            <v>0</v>
          </cell>
          <cell r="R986">
            <v>0</v>
          </cell>
        </row>
        <row r="987">
          <cell r="Q987">
            <v>0</v>
          </cell>
          <cell r="R987">
            <v>0</v>
          </cell>
        </row>
        <row r="988">
          <cell r="Q988">
            <v>0</v>
          </cell>
          <cell r="R988">
            <v>0</v>
          </cell>
        </row>
        <row r="989">
          <cell r="Q989">
            <v>0</v>
          </cell>
          <cell r="R989">
            <v>0</v>
          </cell>
        </row>
        <row r="990">
          <cell r="Q990">
            <v>0</v>
          </cell>
          <cell r="R990">
            <v>0</v>
          </cell>
        </row>
        <row r="991">
          <cell r="Q991">
            <v>0</v>
          </cell>
          <cell r="R991">
            <v>0</v>
          </cell>
        </row>
        <row r="992">
          <cell r="Q992">
            <v>0</v>
          </cell>
          <cell r="R992">
            <v>0</v>
          </cell>
        </row>
        <row r="993">
          <cell r="Q993">
            <v>0</v>
          </cell>
          <cell r="R993">
            <v>0</v>
          </cell>
        </row>
        <row r="994">
          <cell r="Q994">
            <v>0</v>
          </cell>
          <cell r="R994">
            <v>0</v>
          </cell>
        </row>
        <row r="995">
          <cell r="Q995">
            <v>0</v>
          </cell>
          <cell r="R995">
            <v>0</v>
          </cell>
        </row>
        <row r="996">
          <cell r="Q996">
            <v>0</v>
          </cell>
          <cell r="R996">
            <v>0</v>
          </cell>
        </row>
        <row r="997">
          <cell r="Q997">
            <v>0</v>
          </cell>
          <cell r="R997">
            <v>0</v>
          </cell>
        </row>
        <row r="998">
          <cell r="Q998">
            <v>0</v>
          </cell>
          <cell r="R998">
            <v>0</v>
          </cell>
        </row>
        <row r="999">
          <cell r="Q999">
            <v>0</v>
          </cell>
          <cell r="R999">
            <v>0</v>
          </cell>
        </row>
        <row r="1000">
          <cell r="Q1000">
            <v>0</v>
          </cell>
          <cell r="R1000">
            <v>0</v>
          </cell>
        </row>
        <row r="1001">
          <cell r="Q1001">
            <v>0</v>
          </cell>
          <cell r="R1001">
            <v>0</v>
          </cell>
        </row>
        <row r="1002">
          <cell r="Q1002">
            <v>0</v>
          </cell>
          <cell r="R1002">
            <v>0</v>
          </cell>
        </row>
        <row r="1003">
          <cell r="Q1003">
            <v>0</v>
          </cell>
          <cell r="R1003">
            <v>0</v>
          </cell>
        </row>
        <row r="1004">
          <cell r="Q1004">
            <v>0</v>
          </cell>
          <cell r="R1004">
            <v>0</v>
          </cell>
        </row>
        <row r="1005">
          <cell r="Q1005">
            <v>0</v>
          </cell>
          <cell r="R1005">
            <v>0</v>
          </cell>
        </row>
        <row r="1006">
          <cell r="Q1006">
            <v>0</v>
          </cell>
          <cell r="R1006">
            <v>0</v>
          </cell>
        </row>
        <row r="1007">
          <cell r="Q1007">
            <v>0</v>
          </cell>
          <cell r="R1007">
            <v>0</v>
          </cell>
        </row>
        <row r="1008">
          <cell r="Q1008">
            <v>0</v>
          </cell>
          <cell r="R1008">
            <v>0</v>
          </cell>
        </row>
        <row r="1009">
          <cell r="Q1009">
            <v>0</v>
          </cell>
          <cell r="R1009">
            <v>0</v>
          </cell>
        </row>
        <row r="1010">
          <cell r="Q1010">
            <v>0</v>
          </cell>
          <cell r="R1010">
            <v>0</v>
          </cell>
        </row>
        <row r="1011">
          <cell r="Q1011">
            <v>0</v>
          </cell>
          <cell r="R1011">
            <v>0</v>
          </cell>
        </row>
        <row r="1012">
          <cell r="Q1012">
            <v>0</v>
          </cell>
          <cell r="R1012">
            <v>0</v>
          </cell>
        </row>
        <row r="1013">
          <cell r="D1013">
            <v>53551</v>
          </cell>
          <cell r="Q1013">
            <v>0</v>
          </cell>
          <cell r="R1013">
            <v>9.2517163999999994</v>
          </cell>
        </row>
        <row r="1014">
          <cell r="D1014">
            <v>53552</v>
          </cell>
          <cell r="Q1014">
            <v>0</v>
          </cell>
          <cell r="R1014">
            <v>8.0835551999999993</v>
          </cell>
        </row>
        <row r="1015">
          <cell r="D1015">
            <v>53553</v>
          </cell>
          <cell r="Q1015">
            <v>0</v>
          </cell>
          <cell r="R1015">
            <v>8.8674158999999992</v>
          </cell>
        </row>
        <row r="1016">
          <cell r="D1016">
            <v>53554</v>
          </cell>
          <cell r="Q1016">
            <v>0</v>
          </cell>
          <cell r="R1016">
            <v>11.98925</v>
          </cell>
        </row>
        <row r="1017">
          <cell r="D1017">
            <v>53555</v>
          </cell>
          <cell r="Q1017">
            <v>0</v>
          </cell>
          <cell r="R1017">
            <v>8.3300608999999994</v>
          </cell>
        </row>
        <row r="1018">
          <cell r="D1018">
            <v>53556</v>
          </cell>
          <cell r="Q1018">
            <v>0</v>
          </cell>
          <cell r="R1018">
            <v>17.978744800000001</v>
          </cell>
        </row>
        <row r="1019">
          <cell r="D1019">
            <v>53557</v>
          </cell>
          <cell r="Q1019">
            <v>0</v>
          </cell>
          <cell r="R1019">
            <v>0</v>
          </cell>
        </row>
        <row r="1020">
          <cell r="D1020">
            <v>53558</v>
          </cell>
          <cell r="Q1020">
            <v>0</v>
          </cell>
          <cell r="R1020">
            <v>0</v>
          </cell>
        </row>
        <row r="1021">
          <cell r="D1021">
            <v>53559</v>
          </cell>
          <cell r="E1021" t="str">
            <v>REC LT-15090 (Bhusawal Repl)</v>
          </cell>
          <cell r="Q1021">
            <v>0</v>
          </cell>
          <cell r="R1021">
            <v>212.26280700000001</v>
          </cell>
        </row>
        <row r="1022">
          <cell r="D1022">
            <v>53560</v>
          </cell>
          <cell r="Q1022">
            <v>0</v>
          </cell>
          <cell r="R1022">
            <v>403.57052060000001</v>
          </cell>
        </row>
        <row r="1023">
          <cell r="Q1023">
            <v>0</v>
          </cell>
          <cell r="R1023">
            <v>5.1847764999999999</v>
          </cell>
        </row>
        <row r="1024">
          <cell r="D1024">
            <v>53563</v>
          </cell>
          <cell r="Q1024">
            <v>0</v>
          </cell>
          <cell r="R1024">
            <v>17.3596675</v>
          </cell>
        </row>
        <row r="1025">
          <cell r="D1025">
            <v>53564</v>
          </cell>
          <cell r="Q1025">
            <v>0</v>
          </cell>
          <cell r="R1025">
            <v>7.86592</v>
          </cell>
        </row>
        <row r="1026">
          <cell r="Q1026">
            <v>0</v>
          </cell>
          <cell r="R1026">
            <v>18.5406552</v>
          </cell>
        </row>
        <row r="1027">
          <cell r="D1027">
            <v>53566</v>
          </cell>
          <cell r="Q1027">
            <v>0</v>
          </cell>
          <cell r="R1027">
            <v>17.1200008</v>
          </cell>
        </row>
        <row r="1028">
          <cell r="Q1028">
            <v>0</v>
          </cell>
          <cell r="R1028">
            <v>8.4149999999999991</v>
          </cell>
        </row>
        <row r="1029">
          <cell r="Q1029">
            <v>0</v>
          </cell>
          <cell r="R1029">
            <v>1.2502884999999999</v>
          </cell>
        </row>
        <row r="1030">
          <cell r="D1030">
            <v>53571</v>
          </cell>
          <cell r="E1030" t="str">
            <v>REC LT-15060(Capex-Khaperkheda TPS)</v>
          </cell>
          <cell r="Q1030">
            <v>0</v>
          </cell>
          <cell r="R1030">
            <v>12.826558800000001</v>
          </cell>
        </row>
        <row r="1031">
          <cell r="Q1031">
            <v>0</v>
          </cell>
          <cell r="R1031">
            <v>7.2428125000000003</v>
          </cell>
        </row>
        <row r="1032">
          <cell r="Q1032">
            <v>0</v>
          </cell>
          <cell r="R1032">
            <v>3.3270206999999998</v>
          </cell>
        </row>
        <row r="1033">
          <cell r="Q1033">
            <v>0</v>
          </cell>
          <cell r="R1033">
            <v>10.542</v>
          </cell>
        </row>
        <row r="1034">
          <cell r="Q1034">
            <v>0</v>
          </cell>
          <cell r="R1034">
            <v>7.1133328000000002</v>
          </cell>
        </row>
        <row r="1035">
          <cell r="Q1035">
            <v>0</v>
          </cell>
          <cell r="R1035">
            <v>6.9073672999999998</v>
          </cell>
        </row>
        <row r="1036">
          <cell r="D1036">
            <v>53577</v>
          </cell>
          <cell r="E1036" t="str">
            <v>REC LT-15067(Capex-Koyna HPS)</v>
          </cell>
          <cell r="Q1036">
            <v>0</v>
          </cell>
          <cell r="R1036">
            <v>6.6738350000000004</v>
          </cell>
        </row>
        <row r="1037">
          <cell r="Q1037">
            <v>0</v>
          </cell>
          <cell r="R1037">
            <v>7.8844368999999999</v>
          </cell>
        </row>
        <row r="1038">
          <cell r="Q1038">
            <v>0</v>
          </cell>
          <cell r="R1038">
            <v>5.8937631000000001</v>
          </cell>
        </row>
        <row r="1039">
          <cell r="D1039">
            <v>53584</v>
          </cell>
          <cell r="Q1039">
            <v>0</v>
          </cell>
          <cell r="R1039">
            <v>5.0214591999999998</v>
          </cell>
        </row>
        <row r="1040">
          <cell r="Q1040">
            <v>0</v>
          </cell>
          <cell r="R1040">
            <v>14.261146399999999</v>
          </cell>
        </row>
        <row r="1041">
          <cell r="Q1041">
            <v>0</v>
          </cell>
          <cell r="R1041">
            <v>10.489000600000001</v>
          </cell>
        </row>
        <row r="1042">
          <cell r="Q1042">
            <v>0</v>
          </cell>
          <cell r="R1042">
            <v>7.6680000000000001</v>
          </cell>
        </row>
        <row r="1043">
          <cell r="Q1043">
            <v>0</v>
          </cell>
          <cell r="R1043">
            <v>2.8145699999999998</v>
          </cell>
        </row>
        <row r="1044">
          <cell r="D1044">
            <v>53591</v>
          </cell>
          <cell r="Q1044">
            <v>0</v>
          </cell>
          <cell r="R1044">
            <v>0</v>
          </cell>
        </row>
        <row r="1045">
          <cell r="Q1045">
            <v>0</v>
          </cell>
          <cell r="R1045">
            <v>814.23961150000002</v>
          </cell>
        </row>
        <row r="1046">
          <cell r="Q1046">
            <v>0</v>
          </cell>
          <cell r="R1046">
            <v>0.17255000000000001</v>
          </cell>
        </row>
        <row r="1047">
          <cell r="Q1047">
            <v>0</v>
          </cell>
          <cell r="R1047">
            <v>1800</v>
          </cell>
        </row>
        <row r="1048">
          <cell r="Q1048">
            <v>0</v>
          </cell>
          <cell r="R1048">
            <v>1799.9999909999999</v>
          </cell>
        </row>
        <row r="1049">
          <cell r="Q1049">
            <v>0</v>
          </cell>
          <cell r="R1049">
            <v>2.5758E-2</v>
          </cell>
        </row>
        <row r="1050">
          <cell r="Q1050">
            <v>0</v>
          </cell>
          <cell r="R1050">
            <v>2.66378E-2</v>
          </cell>
        </row>
        <row r="1051">
          <cell r="D1051">
            <v>53598</v>
          </cell>
          <cell r="E1051" t="str">
            <v>PFC LTL-21504104 (ESP Chandrapur STPS U</v>
          </cell>
          <cell r="Q1051">
            <v>0</v>
          </cell>
          <cell r="R1051">
            <v>4.7787411000000004</v>
          </cell>
        </row>
        <row r="1052">
          <cell r="D1052">
            <v>53599</v>
          </cell>
          <cell r="E1052" t="str">
            <v>PFC LTL-21504105 (ESP Chandrapur STPS U</v>
          </cell>
          <cell r="Q1052">
            <v>0</v>
          </cell>
          <cell r="R1052">
            <v>30.5247727</v>
          </cell>
        </row>
        <row r="1053">
          <cell r="Q1053">
            <v>0</v>
          </cell>
          <cell r="R1053">
            <v>500</v>
          </cell>
        </row>
        <row r="1054">
          <cell r="Q1054">
            <v>0</v>
          </cell>
          <cell r="R1054">
            <v>449</v>
          </cell>
        </row>
        <row r="1055">
          <cell r="Q1055">
            <v>0</v>
          </cell>
          <cell r="R1055">
            <v>1089.7472451000001</v>
          </cell>
        </row>
        <row r="1056">
          <cell r="R1056">
            <v>149.05813169999999</v>
          </cell>
        </row>
        <row r="1057">
          <cell r="R1057">
            <v>0</v>
          </cell>
        </row>
        <row r="1058">
          <cell r="R1058">
            <v>0</v>
          </cell>
        </row>
        <row r="1059">
          <cell r="R1059">
            <v>0</v>
          </cell>
        </row>
        <row r="1060">
          <cell r="R1060">
            <v>26304.186329426</v>
          </cell>
        </row>
        <row r="1061">
          <cell r="D1061">
            <v>55101</v>
          </cell>
          <cell r="Q1061">
            <v>0</v>
          </cell>
          <cell r="R1061">
            <v>0</v>
          </cell>
        </row>
        <row r="1062">
          <cell r="D1062">
            <v>55102</v>
          </cell>
          <cell r="Q1062">
            <v>0</v>
          </cell>
          <cell r="R1062">
            <v>0.25</v>
          </cell>
        </row>
        <row r="1063">
          <cell r="D1063">
            <v>55103</v>
          </cell>
          <cell r="Q1063">
            <v>18</v>
          </cell>
          <cell r="R1063">
            <v>0</v>
          </cell>
        </row>
        <row r="1064">
          <cell r="D1064">
            <v>55104</v>
          </cell>
          <cell r="Q1064">
            <v>0</v>
          </cell>
          <cell r="R1064">
            <v>0</v>
          </cell>
        </row>
        <row r="1065">
          <cell r="D1065">
            <v>55105</v>
          </cell>
          <cell r="Q1065">
            <v>0</v>
          </cell>
          <cell r="R1065">
            <v>0</v>
          </cell>
        </row>
        <row r="1066">
          <cell r="D1066">
            <v>55106</v>
          </cell>
          <cell r="Q1066">
            <v>0</v>
          </cell>
          <cell r="R1066">
            <v>560.20862350000004</v>
          </cell>
        </row>
        <row r="1067">
          <cell r="R1067">
            <v>0</v>
          </cell>
        </row>
        <row r="1068">
          <cell r="R1068">
            <v>0</v>
          </cell>
        </row>
        <row r="1069">
          <cell r="Q1069">
            <v>5.1872312960000002</v>
          </cell>
        </row>
        <row r="1070">
          <cell r="R1070">
            <v>-9299.160701539</v>
          </cell>
        </row>
        <row r="1071">
          <cell r="R1071">
            <v>-901.67684003299996</v>
          </cell>
        </row>
        <row r="1072">
          <cell r="R1072">
            <v>6.6902387000000001</v>
          </cell>
        </row>
        <row r="1073">
          <cell r="G1073">
            <v>-69.678318899999994</v>
          </cell>
          <cell r="R1073">
            <v>-69.678318899999994</v>
          </cell>
        </row>
        <row r="1075">
          <cell r="G1075">
            <v>12.209531287000001</v>
          </cell>
        </row>
        <row r="1076">
          <cell r="G1076">
            <v>0.48757859999999997</v>
          </cell>
        </row>
        <row r="1077">
          <cell r="G1077">
            <v>4.8062928000000005E-2</v>
          </cell>
        </row>
        <row r="1078">
          <cell r="G1078">
            <v>0</v>
          </cell>
        </row>
        <row r="1079">
          <cell r="G1079">
            <v>0</v>
          </cell>
        </row>
        <row r="1080">
          <cell r="G1080">
            <v>0</v>
          </cell>
        </row>
        <row r="1081">
          <cell r="G1081">
            <v>7.8528269999999996</v>
          </cell>
        </row>
        <row r="1082">
          <cell r="G1082">
            <v>0</v>
          </cell>
        </row>
        <row r="1083">
          <cell r="G1083">
            <v>13.462818728999999</v>
          </cell>
        </row>
        <row r="1084">
          <cell r="G1084">
            <v>89.090928074999994</v>
          </cell>
        </row>
        <row r="1085">
          <cell r="G1085">
            <v>30387.529639090004</v>
          </cell>
        </row>
        <row r="1086">
          <cell r="G1086">
            <v>0</v>
          </cell>
        </row>
        <row r="1087">
          <cell r="G1087">
            <v>-925.14309129899993</v>
          </cell>
        </row>
        <row r="1088">
          <cell r="D1088">
            <v>61413</v>
          </cell>
          <cell r="E1088" t="str">
            <v>Compensation</v>
          </cell>
          <cell r="G1088">
            <v>87.750972399999995</v>
          </cell>
        </row>
        <row r="1089">
          <cell r="G1089">
            <v>5.7978500000000002E-2</v>
          </cell>
        </row>
        <row r="1090">
          <cell r="G1090">
            <v>2674.1801744999998</v>
          </cell>
        </row>
        <row r="1091">
          <cell r="G1091">
            <v>0</v>
          </cell>
        </row>
        <row r="1093">
          <cell r="G1093">
            <v>1.4418089000000002E-2</v>
          </cell>
        </row>
        <row r="1094">
          <cell r="G1094">
            <v>0</v>
          </cell>
        </row>
        <row r="1095">
          <cell r="G1095">
            <v>4.4168410999999998E-2</v>
          </cell>
        </row>
        <row r="1096">
          <cell r="G1096">
            <v>0.150689184</v>
          </cell>
        </row>
        <row r="1097">
          <cell r="G1097">
            <v>0</v>
          </cell>
        </row>
        <row r="1098">
          <cell r="G1098">
            <v>0</v>
          </cell>
        </row>
        <row r="1099">
          <cell r="G1099">
            <v>0</v>
          </cell>
        </row>
        <row r="1100">
          <cell r="G1100">
            <v>0</v>
          </cell>
        </row>
        <row r="1101">
          <cell r="G1101">
            <v>1.445136</v>
          </cell>
        </row>
        <row r="1102">
          <cell r="G1102">
            <v>5.45748E-2</v>
          </cell>
        </row>
        <row r="1103">
          <cell r="G1103">
            <v>0</v>
          </cell>
        </row>
        <row r="1104">
          <cell r="G1104">
            <v>21.509771191999999</v>
          </cell>
        </row>
        <row r="1105">
          <cell r="G1105">
            <v>0</v>
          </cell>
        </row>
        <row r="1106">
          <cell r="G1106">
            <v>0</v>
          </cell>
        </row>
        <row r="1107">
          <cell r="G1107">
            <v>0</v>
          </cell>
        </row>
        <row r="1108">
          <cell r="G1108">
            <v>0</v>
          </cell>
        </row>
        <row r="1109">
          <cell r="G1109">
            <v>184.70916178499999</v>
          </cell>
        </row>
        <row r="1110">
          <cell r="G1110">
            <v>218.563669616</v>
          </cell>
        </row>
        <row r="1111">
          <cell r="G1111">
            <v>1.8855504190000001</v>
          </cell>
        </row>
        <row r="1112">
          <cell r="G1112">
            <v>9.608565799999999E-2</v>
          </cell>
        </row>
        <row r="1113">
          <cell r="G1113">
            <v>2.475237914</v>
          </cell>
        </row>
        <row r="1114">
          <cell r="G1114">
            <v>814.82119799899999</v>
          </cell>
        </row>
        <row r="1115">
          <cell r="G1115">
            <v>7.0211863999999999E-2</v>
          </cell>
        </row>
        <row r="1116">
          <cell r="G1116">
            <v>3.2657247530000002</v>
          </cell>
        </row>
        <row r="1117">
          <cell r="G1117">
            <v>6.7634943000000003E-2</v>
          </cell>
        </row>
        <row r="1118">
          <cell r="G1118">
            <v>0</v>
          </cell>
        </row>
        <row r="1119">
          <cell r="G1119">
            <v>1.6310594000000001E-2</v>
          </cell>
        </row>
        <row r="1120">
          <cell r="G1120">
            <v>2.9704999999999999E-2</v>
          </cell>
        </row>
        <row r="1121">
          <cell r="G1121">
            <v>0</v>
          </cell>
        </row>
        <row r="1122">
          <cell r="G1122">
            <v>0</v>
          </cell>
        </row>
        <row r="1123">
          <cell r="G1123">
            <v>8.6050936450000002</v>
          </cell>
        </row>
        <row r="1124">
          <cell r="G1124">
            <v>128.515590446</v>
          </cell>
        </row>
        <row r="1125">
          <cell r="G1125">
            <v>0</v>
          </cell>
        </row>
        <row r="1126">
          <cell r="G1126">
            <v>0</v>
          </cell>
        </row>
        <row r="1127">
          <cell r="G1127">
            <v>0</v>
          </cell>
        </row>
        <row r="1128">
          <cell r="G1128">
            <v>0</v>
          </cell>
        </row>
        <row r="1129">
          <cell r="G1129">
            <v>0</v>
          </cell>
        </row>
        <row r="1130">
          <cell r="G1130">
            <v>0</v>
          </cell>
        </row>
        <row r="1131">
          <cell r="G1131">
            <v>0</v>
          </cell>
        </row>
        <row r="1132">
          <cell r="G1132">
            <v>0</v>
          </cell>
        </row>
        <row r="1140">
          <cell r="G1140">
            <v>13403.951509316999</v>
          </cell>
        </row>
        <row r="1141">
          <cell r="G1141">
            <v>3711.0720935290001</v>
          </cell>
        </row>
        <row r="1142">
          <cell r="G1142">
            <v>1956.623511384</v>
          </cell>
        </row>
        <row r="1143">
          <cell r="G1143">
            <v>309.48841785300004</v>
          </cell>
        </row>
        <row r="1144">
          <cell r="G1144">
            <v>93.851429574000008</v>
          </cell>
        </row>
        <row r="1145">
          <cell r="G1145">
            <v>42.665081972000003</v>
          </cell>
        </row>
        <row r="1146">
          <cell r="G1146">
            <v>937.80853076000005</v>
          </cell>
        </row>
        <row r="1147">
          <cell r="G1147">
            <v>0.34364518599999999</v>
          </cell>
        </row>
        <row r="1148">
          <cell r="G1148">
            <v>0.72392551199999999</v>
          </cell>
        </row>
        <row r="1149">
          <cell r="G1149">
            <v>718.14033192600004</v>
          </cell>
        </row>
        <row r="1150">
          <cell r="G1150">
            <v>13.005932821</v>
          </cell>
        </row>
        <row r="1151">
          <cell r="G1151">
            <v>8.9883333999999995E-2</v>
          </cell>
        </row>
        <row r="1152">
          <cell r="G1152">
            <v>0</v>
          </cell>
        </row>
        <row r="1153">
          <cell r="G1153">
            <v>1.075124228</v>
          </cell>
        </row>
        <row r="1154">
          <cell r="G1154">
            <v>1.72199097</v>
          </cell>
        </row>
        <row r="1155">
          <cell r="G1155">
            <v>0.16439646000000002</v>
          </cell>
        </row>
        <row r="1156">
          <cell r="G1156">
            <v>224.34180294800001</v>
          </cell>
        </row>
        <row r="1157">
          <cell r="G1157">
            <v>0</v>
          </cell>
        </row>
        <row r="1158">
          <cell r="G1158">
            <v>0.1043804</v>
          </cell>
        </row>
        <row r="1159">
          <cell r="G1159">
            <v>0</v>
          </cell>
        </row>
        <row r="1161">
          <cell r="G1161">
            <v>8.7662787900000012</v>
          </cell>
        </row>
        <row r="1162">
          <cell r="G1162">
            <v>218.38663527800003</v>
          </cell>
        </row>
        <row r="1163">
          <cell r="G1163">
            <v>467.46373670000003</v>
          </cell>
        </row>
        <row r="1164">
          <cell r="G1164">
            <v>88.253164897000005</v>
          </cell>
        </row>
        <row r="1165">
          <cell r="G1165">
            <v>33.622947949999997</v>
          </cell>
        </row>
        <row r="1166">
          <cell r="G1166">
            <v>10.091643712</v>
          </cell>
        </row>
        <row r="1168">
          <cell r="G1168">
            <v>200.73273381999999</v>
          </cell>
        </row>
        <row r="1169">
          <cell r="G1169">
            <v>130.4608887</v>
          </cell>
        </row>
        <row r="1170">
          <cell r="G1170">
            <v>123.93947000799999</v>
          </cell>
        </row>
        <row r="1171">
          <cell r="G1171">
            <v>10.121149648000001</v>
          </cell>
        </row>
        <row r="1172">
          <cell r="D1172">
            <v>71601</v>
          </cell>
          <cell r="E1172" t="str">
            <v>Consumption Lubricants &amp; consumables-Fi</v>
          </cell>
          <cell r="G1172">
            <v>0</v>
          </cell>
        </row>
        <row r="1173">
          <cell r="G1173">
            <v>81.428250000000006</v>
          </cell>
        </row>
        <row r="1174">
          <cell r="G1174">
            <v>0</v>
          </cell>
        </row>
        <row r="1175">
          <cell r="G1175">
            <v>-24.584045776</v>
          </cell>
        </row>
        <row r="1176">
          <cell r="G1176">
            <v>0</v>
          </cell>
        </row>
        <row r="1177">
          <cell r="G1177">
            <v>-7.6800995999999996E-2</v>
          </cell>
        </row>
        <row r="1178">
          <cell r="G1178">
            <v>-0.159202125</v>
          </cell>
        </row>
        <row r="1181">
          <cell r="G1181">
            <v>0</v>
          </cell>
        </row>
        <row r="1184">
          <cell r="G1184">
            <v>0</v>
          </cell>
        </row>
        <row r="1185">
          <cell r="G1185">
            <v>7.5243903450000005</v>
          </cell>
        </row>
        <row r="1186">
          <cell r="G1186">
            <v>0.24792169999999999</v>
          </cell>
        </row>
        <row r="1187">
          <cell r="G1187">
            <v>983.68823728400002</v>
          </cell>
        </row>
        <row r="1188">
          <cell r="G1188">
            <v>1.8069451E-2</v>
          </cell>
        </row>
        <row r="1189">
          <cell r="G1189">
            <v>0</v>
          </cell>
        </row>
        <row r="1190">
          <cell r="G1190">
            <v>0.35667700200000002</v>
          </cell>
        </row>
        <row r="1191">
          <cell r="G1191">
            <v>4.6052999999999997E-3</v>
          </cell>
        </row>
        <row r="1192">
          <cell r="G1192">
            <v>575.69976344899999</v>
          </cell>
        </row>
        <row r="1193">
          <cell r="G1193">
            <v>2.0825584989999997</v>
          </cell>
        </row>
        <row r="1194">
          <cell r="G1194">
            <v>0</v>
          </cell>
        </row>
        <row r="1195">
          <cell r="G1195">
            <v>0.127389</v>
          </cell>
        </row>
        <row r="1196">
          <cell r="D1196">
            <v>74704</v>
          </cell>
          <cell r="E1196" t="str">
            <v>Expenditure on Promotion of Ash Utiliza</v>
          </cell>
          <cell r="G1196">
            <v>0</v>
          </cell>
        </row>
        <row r="1197">
          <cell r="G1197">
            <v>1.6183134109999999</v>
          </cell>
        </row>
        <row r="1198">
          <cell r="G1198">
            <v>986.46955894400003</v>
          </cell>
        </row>
        <row r="1199">
          <cell r="G1199">
            <v>0</v>
          </cell>
        </row>
        <row r="1200">
          <cell r="G1200">
            <v>49.711704500000003</v>
          </cell>
        </row>
        <row r="1201">
          <cell r="G1201">
            <v>135.840948978</v>
          </cell>
        </row>
        <row r="1202">
          <cell r="G1202">
            <v>320.22736824000003</v>
          </cell>
        </row>
        <row r="1203">
          <cell r="G1203">
            <v>82.883312532000005</v>
          </cell>
        </row>
        <row r="1204">
          <cell r="G1204">
            <v>5.1367000000000001E-3</v>
          </cell>
        </row>
        <row r="1205">
          <cell r="G1205">
            <v>2.0779359930000001</v>
          </cell>
        </row>
        <row r="1206">
          <cell r="G1206">
            <v>0.151212972</v>
          </cell>
        </row>
        <row r="1207">
          <cell r="G1207">
            <v>1.159812697</v>
          </cell>
        </row>
        <row r="1208">
          <cell r="G1208">
            <v>6.4990025549999997</v>
          </cell>
        </row>
        <row r="1209">
          <cell r="G1209">
            <v>1.1956E-3</v>
          </cell>
        </row>
        <row r="1210">
          <cell r="G1210">
            <v>18.427996693000001</v>
          </cell>
        </row>
        <row r="1211">
          <cell r="G1211">
            <v>-0.15040500000000001</v>
          </cell>
        </row>
        <row r="1212">
          <cell r="G1212">
            <v>0</v>
          </cell>
        </row>
        <row r="1213">
          <cell r="G1213">
            <v>4.1302862569999998</v>
          </cell>
        </row>
        <row r="1214">
          <cell r="G1214">
            <v>2.1521072000000001</v>
          </cell>
        </row>
        <row r="1215">
          <cell r="G1215">
            <v>245.87655565</v>
          </cell>
        </row>
        <row r="1216">
          <cell r="G1216">
            <v>1.9521566940000001</v>
          </cell>
        </row>
        <row r="1217">
          <cell r="G1217">
            <v>0.52642529999999998</v>
          </cell>
        </row>
        <row r="1218">
          <cell r="G1218">
            <v>0</v>
          </cell>
        </row>
        <row r="1219">
          <cell r="G1219">
            <v>0.90562921400000007</v>
          </cell>
        </row>
        <row r="1220">
          <cell r="G1220">
            <v>19.583571588999998</v>
          </cell>
        </row>
        <row r="1221">
          <cell r="G1221">
            <v>0</v>
          </cell>
        </row>
        <row r="1222">
          <cell r="G1222">
            <v>4.8010000000000002</v>
          </cell>
        </row>
        <row r="1223">
          <cell r="G1223">
            <v>4.5158400000000001E-2</v>
          </cell>
        </row>
        <row r="1224">
          <cell r="G1224">
            <v>0</v>
          </cell>
        </row>
        <row r="1225">
          <cell r="G1225">
            <v>0.315554997</v>
          </cell>
        </row>
        <row r="1226">
          <cell r="G1226">
            <v>24.746822052999999</v>
          </cell>
        </row>
        <row r="1227">
          <cell r="G1227">
            <v>8.9951154000000005E-2</v>
          </cell>
        </row>
        <row r="1228">
          <cell r="G1228">
            <v>3.9866403639999999</v>
          </cell>
        </row>
        <row r="1229">
          <cell r="G1229">
            <v>26.911916311000002</v>
          </cell>
        </row>
        <row r="1230">
          <cell r="G1230">
            <v>0.81447729999999996</v>
          </cell>
        </row>
        <row r="1231">
          <cell r="G1231">
            <v>0.46952050000000001</v>
          </cell>
        </row>
        <row r="1232">
          <cell r="G1232">
            <v>123.8299155</v>
          </cell>
        </row>
        <row r="1233">
          <cell r="G1233">
            <v>50.16</v>
          </cell>
        </row>
        <row r="1234">
          <cell r="G1234">
            <v>0</v>
          </cell>
        </row>
        <row r="1235">
          <cell r="G1235">
            <v>0.22598480000000001</v>
          </cell>
        </row>
        <row r="1236">
          <cell r="G1236">
            <v>255.209859263</v>
          </cell>
        </row>
        <row r="1237">
          <cell r="G1237">
            <v>1.9195458999999999</v>
          </cell>
        </row>
        <row r="1238">
          <cell r="G1238">
            <v>4.3572000000000003E-3</v>
          </cell>
        </row>
        <row r="1239">
          <cell r="G1239">
            <v>55.098440410000002</v>
          </cell>
        </row>
        <row r="1240">
          <cell r="G1240">
            <v>0</v>
          </cell>
        </row>
        <row r="1241">
          <cell r="G1241">
            <v>1.1747913679999999</v>
          </cell>
        </row>
        <row r="1242">
          <cell r="G1242">
            <v>37.368373397000006</v>
          </cell>
        </row>
        <row r="1243">
          <cell r="G1243">
            <v>26.395021163999999</v>
          </cell>
        </row>
        <row r="1244">
          <cell r="G1244">
            <v>0</v>
          </cell>
        </row>
        <row r="1245">
          <cell r="G1245">
            <v>2.6468929649999997</v>
          </cell>
        </row>
        <row r="1246">
          <cell r="G1246">
            <v>0.113314768</v>
          </cell>
        </row>
        <row r="1247">
          <cell r="G1247">
            <v>1.7269347019999999</v>
          </cell>
        </row>
        <row r="1248">
          <cell r="G1248">
            <v>1.0206999999999999</v>
          </cell>
        </row>
        <row r="1249">
          <cell r="G1249">
            <v>36.026177827999994</v>
          </cell>
        </row>
        <row r="1250">
          <cell r="G1250">
            <v>10.991666904999999</v>
          </cell>
        </row>
        <row r="1251">
          <cell r="G1251">
            <v>7.7600000000000004E-3</v>
          </cell>
        </row>
        <row r="1252">
          <cell r="G1252">
            <v>0.16636809999999999</v>
          </cell>
        </row>
        <row r="1253">
          <cell r="G1253">
            <v>0.1629765</v>
          </cell>
        </row>
        <row r="1254">
          <cell r="G1254">
            <v>12.720086800000001</v>
          </cell>
        </row>
        <row r="1255">
          <cell r="G1255">
            <v>1.7837271190000001</v>
          </cell>
        </row>
        <row r="1256">
          <cell r="G1256">
            <v>8.9801000000000006E-2</v>
          </cell>
        </row>
        <row r="1257">
          <cell r="G1257">
            <v>40.774621467999999</v>
          </cell>
        </row>
        <row r="1258">
          <cell r="G1258">
            <v>0</v>
          </cell>
        </row>
        <row r="1259">
          <cell r="G1259">
            <v>13.758764681000001</v>
          </cell>
        </row>
        <row r="1260">
          <cell r="G1260">
            <v>8.96512E-2</v>
          </cell>
        </row>
        <row r="1261">
          <cell r="G1261">
            <v>1.2521797400000001</v>
          </cell>
        </row>
        <row r="1262">
          <cell r="G1262">
            <v>4.4809504759999994</v>
          </cell>
        </row>
        <row r="1263">
          <cell r="G1263">
            <v>1.612004239</v>
          </cell>
        </row>
        <row r="1264">
          <cell r="G1264">
            <v>10.539388520000001</v>
          </cell>
        </row>
        <row r="1265">
          <cell r="G1265">
            <v>0.174520801</v>
          </cell>
        </row>
        <row r="1266">
          <cell r="G1266">
            <v>1.5368999999999999E-3</v>
          </cell>
        </row>
        <row r="1267">
          <cell r="G1267">
            <v>2.4364552659999998</v>
          </cell>
        </row>
        <row r="1268">
          <cell r="G1268">
            <v>0</v>
          </cell>
        </row>
        <row r="1269">
          <cell r="G1269">
            <v>1.4174006050000001</v>
          </cell>
        </row>
        <row r="1270">
          <cell r="G1270">
            <v>72.163088553999998</v>
          </cell>
        </row>
        <row r="1271">
          <cell r="G1271">
            <v>0.24724368300000002</v>
          </cell>
        </row>
        <row r="1272">
          <cell r="G1272">
            <v>2.4640000000000003E-4</v>
          </cell>
        </row>
        <row r="1273">
          <cell r="G1273">
            <v>3.7760731240000003</v>
          </cell>
        </row>
        <row r="1274">
          <cell r="G1274">
            <v>162.60806342999999</v>
          </cell>
        </row>
        <row r="1275">
          <cell r="G1275">
            <v>5.6311246999999995E-2</v>
          </cell>
        </row>
        <row r="1276">
          <cell r="G1276">
            <v>0</v>
          </cell>
        </row>
        <row r="1277">
          <cell r="G1277">
            <v>1.32654E-2</v>
          </cell>
        </row>
        <row r="1278">
          <cell r="G1278">
            <v>5.8046749999999996</v>
          </cell>
        </row>
        <row r="1279">
          <cell r="G1279">
            <v>0.1323886</v>
          </cell>
        </row>
        <row r="1280">
          <cell r="G1280">
            <v>2.6633500000000001E-2</v>
          </cell>
        </row>
        <row r="1281">
          <cell r="G1281">
            <v>0.14161650000000001</v>
          </cell>
        </row>
        <row r="1282">
          <cell r="G1282">
            <v>5.4900000000000001E-4</v>
          </cell>
        </row>
        <row r="1283">
          <cell r="G1283">
            <v>5.6216966560000001</v>
          </cell>
        </row>
        <row r="1284">
          <cell r="G1284">
            <v>3.8956963420000004</v>
          </cell>
        </row>
        <row r="1285">
          <cell r="G1285">
            <v>3.3044340499999998</v>
          </cell>
        </row>
        <row r="1286">
          <cell r="G1286">
            <v>3.725100743</v>
          </cell>
        </row>
        <row r="1287">
          <cell r="G1287">
            <v>2.5950000000000002</v>
          </cell>
        </row>
        <row r="1288">
          <cell r="G1288">
            <v>0</v>
          </cell>
        </row>
        <row r="1289">
          <cell r="G1289">
            <v>4.6611259799999996</v>
          </cell>
        </row>
        <row r="1290">
          <cell r="G1290">
            <v>38.506690289999995</v>
          </cell>
        </row>
        <row r="1291">
          <cell r="G1291">
            <v>31.118999526</v>
          </cell>
        </row>
        <row r="1292">
          <cell r="G1292">
            <v>134.39723559399999</v>
          </cell>
        </row>
        <row r="1293">
          <cell r="G1293">
            <v>45.560515280000004</v>
          </cell>
        </row>
        <row r="1294">
          <cell r="G1294">
            <v>46.606060747000001</v>
          </cell>
        </row>
        <row r="1295">
          <cell r="G1295">
            <v>2082.8795629310002</v>
          </cell>
        </row>
        <row r="1296">
          <cell r="G1296">
            <v>0</v>
          </cell>
        </row>
        <row r="1297">
          <cell r="G1297">
            <v>0</v>
          </cell>
        </row>
        <row r="1298">
          <cell r="G1298">
            <v>26.932201800000001</v>
          </cell>
        </row>
        <row r="1299">
          <cell r="G1299">
            <v>5.2049987959999999</v>
          </cell>
        </row>
        <row r="1300">
          <cell r="G1300">
            <v>144.66125667700001</v>
          </cell>
        </row>
        <row r="1301">
          <cell r="G1301">
            <v>0</v>
          </cell>
        </row>
        <row r="1302">
          <cell r="G1302">
            <v>2.4125697779999999</v>
          </cell>
        </row>
        <row r="1303">
          <cell r="G1303">
            <v>8.9107915609999999</v>
          </cell>
        </row>
        <row r="1304">
          <cell r="G1304">
            <v>1.122938706</v>
          </cell>
        </row>
        <row r="1305">
          <cell r="G1305">
            <v>1.8783503579999998</v>
          </cell>
        </row>
        <row r="1306">
          <cell r="D1306">
            <v>77962</v>
          </cell>
          <cell r="E1306" t="str">
            <v>Amort. for Right to Use Assets</v>
          </cell>
          <cell r="G1306">
            <v>257.55285090000001</v>
          </cell>
        </row>
        <row r="1307">
          <cell r="G1307">
            <v>1416.68691079</v>
          </cell>
        </row>
        <row r="1308">
          <cell r="G1308">
            <v>0</v>
          </cell>
        </row>
        <row r="1309">
          <cell r="G1309">
            <v>0</v>
          </cell>
        </row>
        <row r="1310">
          <cell r="G1310">
            <v>139.29269189999999</v>
          </cell>
        </row>
        <row r="1311">
          <cell r="G1311">
            <v>1.9460938000000001</v>
          </cell>
        </row>
        <row r="1312">
          <cell r="G1312">
            <v>2.1169000000000001E-3</v>
          </cell>
        </row>
        <row r="1313">
          <cell r="G1313">
            <v>9.3058524000000004E-2</v>
          </cell>
        </row>
        <row r="1314">
          <cell r="G1314">
            <v>688.52717658300003</v>
          </cell>
        </row>
        <row r="1315">
          <cell r="G1315">
            <v>0</v>
          </cell>
        </row>
        <row r="1316">
          <cell r="G1316">
            <v>0</v>
          </cell>
        </row>
        <row r="1317">
          <cell r="G1317">
            <v>723.45474049999996</v>
          </cell>
        </row>
        <row r="1318">
          <cell r="G1318">
            <v>406.54781109999999</v>
          </cell>
        </row>
        <row r="1319">
          <cell r="G1319">
            <v>0</v>
          </cell>
        </row>
        <row r="1320">
          <cell r="G1320">
            <v>0.89744034800000005</v>
          </cell>
        </row>
        <row r="1321">
          <cell r="G1321">
            <v>0</v>
          </cell>
        </row>
        <row r="1322">
          <cell r="G1322">
            <v>27.022937500000001</v>
          </cell>
        </row>
        <row r="1323">
          <cell r="G1323">
            <v>0</v>
          </cell>
        </row>
        <row r="1324">
          <cell r="D1324">
            <v>78845</v>
          </cell>
          <cell r="G1324">
            <v>327.61980563499998</v>
          </cell>
        </row>
        <row r="1325">
          <cell r="G1325">
            <v>1.6987509999999999</v>
          </cell>
        </row>
        <row r="1326">
          <cell r="G1326">
            <v>13.887349572</v>
          </cell>
        </row>
        <row r="1327">
          <cell r="G1327">
            <v>2.5435519000000002</v>
          </cell>
        </row>
        <row r="1328">
          <cell r="G1328">
            <v>9.1519881129999998</v>
          </cell>
        </row>
        <row r="1329">
          <cell r="G1329">
            <v>0.97752328699999991</v>
          </cell>
        </row>
        <row r="1330">
          <cell r="G1330">
            <v>4.0751540000000001E-3</v>
          </cell>
        </row>
        <row r="1331">
          <cell r="G1331">
            <v>2.1553268210000001</v>
          </cell>
        </row>
        <row r="1332">
          <cell r="G1332">
            <v>2.7130730430000001</v>
          </cell>
        </row>
        <row r="1333">
          <cell r="G1333">
            <v>-2.2987709999999998E-3</v>
          </cell>
        </row>
        <row r="1334">
          <cell r="G1334">
            <v>0.23099701600000003</v>
          </cell>
        </row>
        <row r="1336">
          <cell r="G1336">
            <v>47.370661446</v>
          </cell>
        </row>
        <row r="1337">
          <cell r="G1337">
            <v>0</v>
          </cell>
        </row>
        <row r="1338">
          <cell r="G1338">
            <v>0</v>
          </cell>
        </row>
        <row r="1339">
          <cell r="G1339">
            <v>0.7006059</v>
          </cell>
        </row>
        <row r="1340">
          <cell r="G1340">
            <v>24.146281619</v>
          </cell>
        </row>
        <row r="1341">
          <cell r="G1341">
            <v>0</v>
          </cell>
        </row>
        <row r="1342">
          <cell r="G1342">
            <v>1.899663E-3</v>
          </cell>
        </row>
        <row r="1343">
          <cell r="D1343">
            <v>79571</v>
          </cell>
          <cell r="E1343" t="str">
            <v>Deviation Settlement Mechanism (DSM) Charges</v>
          </cell>
          <cell r="G1343">
            <v>68.784941700000005</v>
          </cell>
        </row>
        <row r="1344">
          <cell r="D1344">
            <v>79572</v>
          </cell>
          <cell r="E1344" t="str">
            <v>Loss due to Scrapping</v>
          </cell>
          <cell r="G1344">
            <v>5.8400126329999997</v>
          </cell>
        </row>
        <row r="1345">
          <cell r="G1345">
            <v>0</v>
          </cell>
        </row>
        <row r="1346">
          <cell r="G1346">
            <v>0</v>
          </cell>
        </row>
        <row r="1347">
          <cell r="G1347">
            <v>0</v>
          </cell>
        </row>
        <row r="1348">
          <cell r="G1348">
            <v>3.2207580000000002E-3</v>
          </cell>
        </row>
        <row r="1349">
          <cell r="G1349">
            <v>10.056178158</v>
          </cell>
        </row>
        <row r="1350">
          <cell r="G1350">
            <v>0</v>
          </cell>
        </row>
        <row r="1351">
          <cell r="G1351">
            <v>0</v>
          </cell>
        </row>
        <row r="1352">
          <cell r="G1352">
            <v>0</v>
          </cell>
        </row>
        <row r="1353">
          <cell r="G1353">
            <v>0</v>
          </cell>
        </row>
        <row r="1354">
          <cell r="G1354">
            <v>0</v>
          </cell>
        </row>
        <row r="1355">
          <cell r="G1355">
            <v>0</v>
          </cell>
        </row>
        <row r="1356">
          <cell r="G1356">
            <v>0</v>
          </cell>
        </row>
        <row r="1357">
          <cell r="G1357">
            <v>0</v>
          </cell>
        </row>
        <row r="1358">
          <cell r="G1358">
            <v>0</v>
          </cell>
        </row>
        <row r="1359">
          <cell r="G1359">
            <v>0</v>
          </cell>
        </row>
        <row r="1360">
          <cell r="G1360">
            <v>0</v>
          </cell>
        </row>
        <row r="1361">
          <cell r="G1361">
            <v>0</v>
          </cell>
        </row>
        <row r="1362">
          <cell r="G1362">
            <v>0</v>
          </cell>
        </row>
        <row r="1363">
          <cell r="G1363">
            <v>0</v>
          </cell>
        </row>
        <row r="1364">
          <cell r="G1364">
            <v>0</v>
          </cell>
        </row>
        <row r="1365">
          <cell r="G1365">
            <v>0</v>
          </cell>
        </row>
        <row r="1366">
          <cell r="G1366">
            <v>0</v>
          </cell>
        </row>
        <row r="1367">
          <cell r="G1367">
            <v>0</v>
          </cell>
        </row>
        <row r="1368">
          <cell r="G1368">
            <v>0</v>
          </cell>
        </row>
        <row r="1369">
          <cell r="G1369">
            <v>0</v>
          </cell>
        </row>
        <row r="1370">
          <cell r="G1370">
            <v>0</v>
          </cell>
        </row>
        <row r="1371">
          <cell r="G1371">
            <v>0</v>
          </cell>
        </row>
        <row r="1372">
          <cell r="G1372">
            <v>0</v>
          </cell>
        </row>
        <row r="1373">
          <cell r="G1373">
            <v>0</v>
          </cell>
        </row>
        <row r="1374">
          <cell r="G1374">
            <v>0</v>
          </cell>
        </row>
        <row r="1376">
          <cell r="G1376">
            <v>918.08099637099986</v>
          </cell>
        </row>
        <row r="1377">
          <cell r="R1377">
            <v>413.56195018599999</v>
          </cell>
        </row>
        <row r="1378">
          <cell r="L1378">
            <v>384.18284791399998</v>
          </cell>
        </row>
        <row r="1379">
          <cell r="Q1379">
            <v>236.77780924099997</v>
          </cell>
        </row>
        <row r="1380">
          <cell r="L1380">
            <v>0.73459189999999996</v>
          </cell>
        </row>
        <row r="1381">
          <cell r="Q1381">
            <v>1.4240839999999999</v>
          </cell>
        </row>
        <row r="1382">
          <cell r="Q1382">
            <v>214.34562678399999</v>
          </cell>
        </row>
        <row r="1383">
          <cell r="Q1383">
            <v>88.185184325999998</v>
          </cell>
          <cell r="R1383">
            <v>0</v>
          </cell>
        </row>
        <row r="1384">
          <cell r="Q1384">
            <v>106.552121235</v>
          </cell>
        </row>
        <row r="1385">
          <cell r="Q1385">
            <v>55.159670020000007</v>
          </cell>
        </row>
        <row r="1387">
          <cell r="Q1387">
            <v>282.83210237199995</v>
          </cell>
          <cell r="R1387">
            <v>63.681047399999997</v>
          </cell>
        </row>
        <row r="1388">
          <cell r="Q1388">
            <v>386.04852350000004</v>
          </cell>
          <cell r="R1388">
            <v>93.521071399999997</v>
          </cell>
        </row>
        <row r="1389">
          <cell r="Q1389">
            <v>872.256737929</v>
          </cell>
          <cell r="R1389">
            <v>132.26029053900001</v>
          </cell>
        </row>
        <row r="1391">
          <cell r="Q1391">
            <v>0.62965400000000005</v>
          </cell>
          <cell r="R1391">
            <v>0</v>
          </cell>
        </row>
        <row r="1392">
          <cell r="Q1392">
            <v>0.95555300500000007</v>
          </cell>
        </row>
        <row r="1393">
          <cell r="Q1393">
            <v>180.85043202400001</v>
          </cell>
        </row>
        <row r="1394">
          <cell r="Q1394">
            <v>0</v>
          </cell>
        </row>
        <row r="1395">
          <cell r="Q1395">
            <v>0</v>
          </cell>
        </row>
        <row r="1396">
          <cell r="Q1396">
            <v>0</v>
          </cell>
        </row>
        <row r="1397">
          <cell r="Q1397">
            <v>30373.715674189003</v>
          </cell>
        </row>
        <row r="1398">
          <cell r="Q1398">
            <v>38.719276029</v>
          </cell>
        </row>
        <row r="1400">
          <cell r="Q1400">
            <v>2.55582624</v>
          </cell>
        </row>
        <row r="1401">
          <cell r="Q1401">
            <v>-0.47317987</v>
          </cell>
        </row>
        <row r="1402">
          <cell r="Q1402">
            <v>-7.273627051000001</v>
          </cell>
        </row>
        <row r="1403">
          <cell r="Q1403">
            <v>24.731784606000002</v>
          </cell>
        </row>
        <row r="1406">
          <cell r="Q1406">
            <v>3260.1665578110001</v>
          </cell>
        </row>
        <row r="1407">
          <cell r="Q1407">
            <v>-39.556321963000002</v>
          </cell>
        </row>
        <row r="1408">
          <cell r="Q1408">
            <v>803.57114095400004</v>
          </cell>
        </row>
        <row r="1409">
          <cell r="Q1409">
            <v>1.8482867359999999</v>
          </cell>
        </row>
        <row r="1410">
          <cell r="Q1410">
            <v>0</v>
          </cell>
        </row>
        <row r="1411">
          <cell r="Q1411">
            <v>0</v>
          </cell>
        </row>
        <row r="1412">
          <cell r="Q1412">
            <v>56.875253700000002</v>
          </cell>
        </row>
        <row r="1413">
          <cell r="Q1413">
            <v>0</v>
          </cell>
        </row>
        <row r="1414">
          <cell r="Q1414">
            <v>0</v>
          </cell>
        </row>
        <row r="1415">
          <cell r="Q1415">
            <v>0</v>
          </cell>
        </row>
        <row r="1416">
          <cell r="Q1416">
            <v>1263.9041538500001</v>
          </cell>
        </row>
        <row r="1417">
          <cell r="Q1417">
            <v>5.7136065199999999</v>
          </cell>
        </row>
        <row r="1418">
          <cell r="Q1418">
            <v>5.9160000000000003E-3</v>
          </cell>
        </row>
        <row r="1419">
          <cell r="Q1419">
            <v>4.5589999999999997E-3</v>
          </cell>
        </row>
        <row r="1422">
          <cell r="Q1422">
            <v>4702.0526821839994</v>
          </cell>
        </row>
        <row r="1423">
          <cell r="Q1423">
            <v>1.630216962</v>
          </cell>
        </row>
        <row r="1425">
          <cell r="Q1425">
            <v>82.373988901000004</v>
          </cell>
        </row>
        <row r="1426">
          <cell r="Q1426">
            <v>80.656645499999996</v>
          </cell>
        </row>
        <row r="1427">
          <cell r="Q1427">
            <v>2.4977908200000001</v>
          </cell>
        </row>
        <row r="1531">
          <cell r="D1531">
            <v>1.2150280781497713E-12</v>
          </cell>
        </row>
      </sheetData>
      <sheetData sheetId="4">
        <row r="1">
          <cell r="B1" t="str">
            <v>MAHARASHTRA STATE POWER GENERATION COMPANY LIMITED [CIN -U40100MH2005SGC153648]</v>
          </cell>
        </row>
        <row r="3">
          <cell r="D3" t="str">
            <v>31.03.2024</v>
          </cell>
          <cell r="E3" t="str">
            <v>31.03.2023 (RESTATED)</v>
          </cell>
        </row>
        <row r="4">
          <cell r="B4" t="str">
            <v>ASSETS</v>
          </cell>
        </row>
        <row r="5">
          <cell r="B5" t="str">
            <v>Non-Current Assets</v>
          </cell>
        </row>
        <row r="6">
          <cell r="B6" t="str">
            <v xml:space="preserve">    Property, Plant &amp; Equipment</v>
          </cell>
          <cell r="D6">
            <v>29253.386923038997</v>
          </cell>
          <cell r="E6">
            <v>31031.659995595001</v>
          </cell>
          <cell r="F6">
            <v>32774.723769056</v>
          </cell>
          <cell r="M6">
            <v>-1778.2730725560032</v>
          </cell>
        </row>
        <row r="7">
          <cell r="B7" t="str">
            <v xml:space="preserve">    Capital work in progress</v>
          </cell>
          <cell r="D7">
            <v>7195.0995502320002</v>
          </cell>
          <cell r="E7">
            <v>5757.2913941300003</v>
          </cell>
          <cell r="M7">
            <v>1437.8081561019999</v>
          </cell>
        </row>
        <row r="8">
          <cell r="B8" t="str">
            <v xml:space="preserve">    Right to use assets</v>
          </cell>
          <cell r="D8">
            <v>3288.1758949000005</v>
          </cell>
          <cell r="E8">
            <v>3419.2373834</v>
          </cell>
          <cell r="M8">
            <v>-131.06148849999954</v>
          </cell>
        </row>
        <row r="9">
          <cell r="B9" t="str">
            <v xml:space="preserve">    Intangible assets</v>
          </cell>
          <cell r="D9">
            <v>2.4729597610000056</v>
          </cell>
          <cell r="E9">
            <v>4.2940700679999964</v>
          </cell>
          <cell r="M9">
            <v>-1.8211103069999908</v>
          </cell>
        </row>
        <row r="10">
          <cell r="B10" t="str">
            <v xml:space="preserve">    Intangible assets under development</v>
          </cell>
          <cell r="D10">
            <v>642.07934182600002</v>
          </cell>
          <cell r="E10">
            <v>574.16186102100005</v>
          </cell>
          <cell r="M10">
            <v>67.917480804999968</v>
          </cell>
        </row>
        <row r="11">
          <cell r="B11" t="str">
            <v xml:space="preserve">    Financial Assets</v>
          </cell>
        </row>
        <row r="12">
          <cell r="B12" t="str">
            <v xml:space="preserve">        - Investment in subsidiaries and associates</v>
          </cell>
          <cell r="D12">
            <v>2.6698617039999997</v>
          </cell>
          <cell r="E12">
            <v>2.3909302000000072</v>
          </cell>
          <cell r="M12">
            <v>0.27893150399999245</v>
          </cell>
          <cell r="N12">
            <v>9.932690000000699E-2</v>
          </cell>
        </row>
        <row r="13">
          <cell r="M13">
            <v>62.729029199999999</v>
          </cell>
          <cell r="N13">
            <v>2.1441411999999929</v>
          </cell>
        </row>
        <row r="14">
          <cell r="M14">
            <v>-2915.8591349608496</v>
          </cell>
        </row>
        <row r="15">
          <cell r="M15">
            <v>0</v>
          </cell>
        </row>
        <row r="16">
          <cell r="B16" t="str">
            <v xml:space="preserve">    Other non-current assets</v>
          </cell>
          <cell r="D16">
            <v>748.92926908000163</v>
          </cell>
          <cell r="E16">
            <v>621.92883314599999</v>
          </cell>
          <cell r="M16">
            <v>127.00043593400164</v>
          </cell>
          <cell r="N16">
            <v>189.97378418399967</v>
          </cell>
        </row>
        <row r="17">
          <cell r="B17" t="str">
            <v xml:space="preserve">   Total Non Current Assets</v>
          </cell>
          <cell r="D17">
            <v>45627.08371752088</v>
          </cell>
          <cell r="E17">
            <v>48758.364490299733</v>
          </cell>
        </row>
        <row r="18">
          <cell r="B18" t="str">
            <v>Current Assets</v>
          </cell>
        </row>
        <row r="19">
          <cell r="B19" t="str">
            <v xml:space="preserve">    Inventories</v>
          </cell>
          <cell r="D19">
            <v>2943.5795060349997</v>
          </cell>
          <cell r="E19">
            <v>2114.7825896700001</v>
          </cell>
          <cell r="M19">
            <v>828.79691636499956</v>
          </cell>
          <cell r="N19">
            <v>859.02141003800057</v>
          </cell>
        </row>
        <row r="20">
          <cell r="B20" t="str">
            <v xml:space="preserve">    Financial Assets</v>
          </cell>
        </row>
        <row r="21">
          <cell r="B21" t="str">
            <v xml:space="preserve">          - Trade receivables  </v>
          </cell>
          <cell r="D21">
            <v>26924.051353812123</v>
          </cell>
          <cell r="E21">
            <v>22720.473888327273</v>
          </cell>
          <cell r="M21">
            <v>4203.5774654848501</v>
          </cell>
        </row>
        <row r="22">
          <cell r="B22" t="str">
            <v xml:space="preserve">          - Cash and cash equivalents</v>
          </cell>
          <cell r="D22">
            <v>6.8494287649999981</v>
          </cell>
          <cell r="E22">
            <v>263.67808044699996</v>
          </cell>
        </row>
        <row r="23">
          <cell r="B23" t="str">
            <v xml:space="preserve">          - Loans</v>
          </cell>
          <cell r="D23">
            <v>1.8876684990000001</v>
          </cell>
          <cell r="E23">
            <v>1.781401367</v>
          </cell>
          <cell r="M23">
            <v>0.10626713200000015</v>
          </cell>
          <cell r="N23">
            <v>-3.5809319730000002</v>
          </cell>
        </row>
        <row r="24">
          <cell r="B24" t="str">
            <v xml:space="preserve">          - Other financial assets</v>
          </cell>
          <cell r="D24">
            <v>515.13831682600005</v>
          </cell>
          <cell r="E24">
            <v>298.79666472300005</v>
          </cell>
          <cell r="M24">
            <v>216.341652103</v>
          </cell>
          <cell r="N24">
            <v>2.4659914470000786</v>
          </cell>
        </row>
        <row r="25">
          <cell r="B25" t="str">
            <v xml:space="preserve">    Other current assets</v>
          </cell>
          <cell r="D25">
            <v>832.79298728799995</v>
          </cell>
          <cell r="E25">
            <v>933.14046157000007</v>
          </cell>
          <cell r="M25">
            <v>-100.34747428200012</v>
          </cell>
          <cell r="N25">
            <v>8.4446704800002408</v>
          </cell>
        </row>
        <row r="28">
          <cell r="B28" t="str">
            <v xml:space="preserve">    Assets classified as held for sale / disposal</v>
          </cell>
          <cell r="D28">
            <v>42.187014742999907</v>
          </cell>
          <cell r="E28">
            <v>119.54817991200002</v>
          </cell>
          <cell r="M28">
            <v>-77.361165169000117</v>
          </cell>
          <cell r="N28">
            <v>-1.4894450589999906</v>
          </cell>
        </row>
        <row r="29">
          <cell r="B29" t="str">
            <v xml:space="preserve">  Total Other Assets</v>
          </cell>
          <cell r="D29">
            <v>42.187014742999907</v>
          </cell>
          <cell r="E29">
            <v>119.54817991200002</v>
          </cell>
        </row>
        <row r="30">
          <cell r="B30" t="str">
            <v>TOTAL ASSETS</v>
          </cell>
          <cell r="D30">
            <v>76893.569993489</v>
          </cell>
          <cell r="E30">
            <v>75210.565756316006</v>
          </cell>
        </row>
        <row r="32">
          <cell r="B32" t="str">
            <v>EQUITY AND LIABILITIES</v>
          </cell>
        </row>
        <row r="33">
          <cell r="B33" t="str">
            <v>Equity</v>
          </cell>
        </row>
        <row r="34">
          <cell r="B34" t="str">
            <v xml:space="preserve">    Equity Share capital</v>
          </cell>
          <cell r="D34">
            <v>26115.397229399994</v>
          </cell>
          <cell r="E34">
            <v>25918.496225999996</v>
          </cell>
          <cell r="M34">
            <v>196.90100339999844</v>
          </cell>
          <cell r="N34">
            <v>468.04999999999927</v>
          </cell>
        </row>
        <row r="35">
          <cell r="B35" t="str">
            <v xml:space="preserve">    Other Equity</v>
          </cell>
          <cell r="D35">
            <v>-9967.0311808639726</v>
          </cell>
          <cell r="E35">
            <v>-10109.698583866902</v>
          </cell>
        </row>
        <row r="38">
          <cell r="B38" t="str">
            <v>Total Equity</v>
          </cell>
          <cell r="D38">
            <v>16148.366048536021</v>
          </cell>
          <cell r="E38">
            <v>15808.797642133093</v>
          </cell>
        </row>
        <row r="39">
          <cell r="B39" t="str">
            <v>Liabilities</v>
          </cell>
        </row>
        <row r="40">
          <cell r="B40" t="str">
            <v>Non Current Liabilities</v>
          </cell>
        </row>
        <row r="41">
          <cell r="B41" t="str">
            <v xml:space="preserve">    Financial liabilities</v>
          </cell>
        </row>
        <row r="42">
          <cell r="B42" t="str">
            <v xml:space="preserve">          - Borrowings</v>
          </cell>
          <cell r="D42">
            <v>24724.542599953405</v>
          </cell>
          <cell r="E42">
            <v>24687.339384897423</v>
          </cell>
          <cell r="M42">
            <v>37.203215055982582</v>
          </cell>
        </row>
        <row r="43">
          <cell r="M43">
            <v>-68.036719599941534</v>
          </cell>
        </row>
        <row r="44">
          <cell r="B44" t="str">
            <v xml:space="preserve">    Provisions</v>
          </cell>
          <cell r="D44">
            <v>1504.1542353</v>
          </cell>
          <cell r="E44">
            <v>1153.4486072999998</v>
          </cell>
          <cell r="M44">
            <v>350.70562800000016</v>
          </cell>
        </row>
        <row r="45">
          <cell r="B45" t="str">
            <v xml:space="preserve">    Net Deferred tax liabilities</v>
          </cell>
          <cell r="D45">
            <v>69.678318899999994</v>
          </cell>
          <cell r="E45">
            <v>-69.61437304908047</v>
          </cell>
          <cell r="M45">
            <v>139.29269194908045</v>
          </cell>
        </row>
        <row r="46">
          <cell r="B46" t="str">
            <v xml:space="preserve">    Other non-current liabilities</v>
          </cell>
          <cell r="D46">
            <v>849.92103283900008</v>
          </cell>
          <cell r="E46">
            <v>654.67374213900007</v>
          </cell>
          <cell r="M46">
            <v>195.24729070000001</v>
          </cell>
        </row>
        <row r="47">
          <cell r="B47" t="str">
            <v>Total Non Current Liabilities</v>
          </cell>
          <cell r="D47">
            <v>30006.818907318051</v>
          </cell>
          <cell r="E47">
            <v>29352.406801212928</v>
          </cell>
        </row>
        <row r="48">
          <cell r="B48" t="str">
            <v>Current Liabilities</v>
          </cell>
        </row>
        <row r="49">
          <cell r="B49" t="str">
            <v xml:space="preserve">    Financial liabilities</v>
          </cell>
        </row>
        <row r="50">
          <cell r="B50" t="str">
            <v xml:space="preserve">          - Borrowings</v>
          </cell>
          <cell r="D50">
            <v>16043.894236554601</v>
          </cell>
          <cell r="E50">
            <v>17272.729860049571</v>
          </cell>
          <cell r="M50">
            <v>-1228.8356234949697</v>
          </cell>
        </row>
        <row r="51">
          <cell r="M51">
            <v>30.571806834941128</v>
          </cell>
        </row>
        <row r="52">
          <cell r="M52">
            <v>0.85479427398898999</v>
          </cell>
        </row>
        <row r="53">
          <cell r="B53" t="str">
            <v xml:space="preserve">          - Trade payables - Other than MSME</v>
          </cell>
          <cell r="D53">
            <v>9747.6502665793432</v>
          </cell>
          <cell r="E53">
            <v>8102.1865365563317</v>
          </cell>
          <cell r="M53">
            <v>1645.4637300230115</v>
          </cell>
        </row>
        <row r="54">
          <cell r="B54" t="str">
            <v xml:space="preserve">          - Other financial liabilities</v>
          </cell>
          <cell r="D54">
            <v>4333.5231469929995</v>
          </cell>
          <cell r="E54">
            <v>4108.6721583640001</v>
          </cell>
          <cell r="M54">
            <v>224.8509886289994</v>
          </cell>
        </row>
        <row r="55">
          <cell r="B55" t="str">
            <v xml:space="preserve">    Other current liabilities</v>
          </cell>
          <cell r="D55">
            <v>154.90500698400001</v>
          </cell>
          <cell r="E55">
            <v>182.35702072499998</v>
          </cell>
          <cell r="M55">
            <v>-27.452013740999973</v>
          </cell>
        </row>
        <row r="56">
          <cell r="B56" t="str">
            <v xml:space="preserve">    Provisions</v>
          </cell>
          <cell r="D56">
            <v>282.64378577200011</v>
          </cell>
          <cell r="E56">
            <v>239.07374370900004</v>
          </cell>
          <cell r="M56">
            <v>43.570042063000074</v>
          </cell>
        </row>
        <row r="57">
          <cell r="B57" t="str">
            <v>Total Current Liabilities</v>
          </cell>
          <cell r="D57">
            <v>30738.38504951496</v>
          </cell>
          <cell r="E57">
            <v>30049.361324926984</v>
          </cell>
        </row>
        <row r="58">
          <cell r="B58" t="str">
            <v>TOTAL EQUITY AND LIABILITIES</v>
          </cell>
          <cell r="D58">
            <v>76893.570005369023</v>
          </cell>
          <cell r="E58">
            <v>75210.565768273009</v>
          </cell>
        </row>
        <row r="61">
          <cell r="B61" t="str">
            <v>For Ummed Jain &amp; Co.</v>
          </cell>
        </row>
        <row r="62">
          <cell r="B62" t="str">
            <v>Chartered Accountants</v>
          </cell>
        </row>
        <row r="63">
          <cell r="B63" t="str">
            <v>(FRN  -119250W)</v>
          </cell>
        </row>
        <row r="65">
          <cell r="B65" t="str">
            <v>(CA U. M. Jain)</v>
          </cell>
        </row>
        <row r="66">
          <cell r="B66" t="str">
            <v>Partner (ICAI M No. 070863)</v>
          </cell>
          <cell r="C66" t="str">
            <v>Balasaheb Thite</v>
          </cell>
          <cell r="E66" t="str">
            <v>Dr.P. Anbalagan</v>
          </cell>
        </row>
        <row r="67">
          <cell r="C67" t="str">
            <v>Director (Finance) &amp; CFO</v>
          </cell>
          <cell r="E67" t="str">
            <v>Chairman &amp; Managing Director</v>
          </cell>
        </row>
        <row r="68">
          <cell r="B68" t="str">
            <v>For Shah and Taparia</v>
          </cell>
          <cell r="C68" t="str">
            <v xml:space="preserve"> DIN No.08923676</v>
          </cell>
          <cell r="E68" t="str">
            <v>DIN No.05117747</v>
          </cell>
        </row>
        <row r="69">
          <cell r="B69" t="str">
            <v>Chartered Accountants</v>
          </cell>
        </row>
        <row r="70">
          <cell r="B70" t="str">
            <v>(FRN  - 109463W )</v>
          </cell>
        </row>
        <row r="72">
          <cell r="B72" t="str">
            <v>(CA Bharat Ramesh Joshi)</v>
          </cell>
          <cell r="C72" t="str">
            <v>Vishwanath Kulkarni</v>
          </cell>
          <cell r="E72" t="str">
            <v>Rahul Dubey</v>
          </cell>
        </row>
        <row r="73">
          <cell r="B73" t="str">
            <v>Partner (ICAI M No. 130863)</v>
          </cell>
          <cell r="C73" t="str">
            <v>Chief General Manager (A/c)</v>
          </cell>
          <cell r="E73" t="str">
            <v>Company Secretary</v>
          </cell>
        </row>
        <row r="74">
          <cell r="B74" t="str">
            <v>Mumbai, 20th September, 2024</v>
          </cell>
          <cell r="E74" t="str">
            <v>M No. A14213</v>
          </cell>
        </row>
        <row r="78">
          <cell r="D78" t="str">
            <v xml:space="preserve">2023-24 </v>
          </cell>
          <cell r="E78" t="str">
            <v>2022-23 (RESTATED)</v>
          </cell>
        </row>
        <row r="89">
          <cell r="D89">
            <v>3610.9410095520002</v>
          </cell>
        </row>
        <row r="90">
          <cell r="D90">
            <v>2687.7448922469998</v>
          </cell>
          <cell r="E90">
            <v>2847.2569642380004</v>
          </cell>
        </row>
        <row r="103">
          <cell r="D103">
            <v>173.44246798000896</v>
          </cell>
        </row>
        <row r="108">
          <cell r="D108">
            <v>-128.42521917600001</v>
          </cell>
        </row>
        <row r="109">
          <cell r="D109">
            <v>45.017248804008943</v>
          </cell>
          <cell r="E109">
            <v>-1977.7718131169186</v>
          </cell>
        </row>
        <row r="208">
          <cell r="D208">
            <v>-410.59314440600002</v>
          </cell>
          <cell r="E208">
            <v>-385.94918471199998</v>
          </cell>
          <cell r="F208">
            <v>-402.23597693099998</v>
          </cell>
        </row>
        <row r="222">
          <cell r="D222">
            <v>6.8380321949999985</v>
          </cell>
          <cell r="E222">
            <v>263.66342570199998</v>
          </cell>
        </row>
        <row r="223">
          <cell r="D223">
            <v>0</v>
          </cell>
          <cell r="E223">
            <v>0</v>
          </cell>
        </row>
        <row r="224">
          <cell r="D224">
            <v>1.139657E-2</v>
          </cell>
          <cell r="E224">
            <v>1.4654745E-2</v>
          </cell>
        </row>
        <row r="260">
          <cell r="D260">
            <v>188.7891119040174</v>
          </cell>
          <cell r="E260">
            <v>91.14101530401723</v>
          </cell>
          <cell r="F260">
            <v>468.05001187801292</v>
          </cell>
        </row>
        <row r="264">
          <cell r="D264">
            <v>-9967.0311808639726</v>
          </cell>
          <cell r="E264">
            <v>-10109.698583866902</v>
          </cell>
          <cell r="F264">
            <v>-7755.0177741439893</v>
          </cell>
        </row>
        <row r="280">
          <cell r="D280">
            <v>24724.542599953405</v>
          </cell>
        </row>
        <row r="305">
          <cell r="D305">
            <v>2930.4689049626008</v>
          </cell>
          <cell r="E305">
            <v>3008.6983286605678</v>
          </cell>
        </row>
        <row r="311">
          <cell r="D311">
            <v>16043.894236554601</v>
          </cell>
        </row>
        <row r="354">
          <cell r="B354" t="str">
            <v>Notes to the Financial Statements for the year ended 31st March, 2024</v>
          </cell>
        </row>
        <row r="369">
          <cell r="D369">
            <v>5.85865E-2</v>
          </cell>
          <cell r="E369">
            <v>0.22902478000000004</v>
          </cell>
        </row>
        <row r="434">
          <cell r="D434">
            <v>47.370661446</v>
          </cell>
        </row>
      </sheetData>
      <sheetData sheetId="5">
        <row r="9">
          <cell r="C9">
            <v>1688.5052793700002</v>
          </cell>
        </row>
        <row r="10">
          <cell r="C10">
            <v>143.14205050000001</v>
          </cell>
        </row>
        <row r="11">
          <cell r="C11">
            <v>2037.7434004049999</v>
          </cell>
        </row>
        <row r="12">
          <cell r="C12">
            <v>1578.8209273259999</v>
          </cell>
        </row>
        <row r="13">
          <cell r="C13">
            <v>3831.0581395269996</v>
          </cell>
        </row>
        <row r="14">
          <cell r="C14">
            <v>1738.0315736959999</v>
          </cell>
        </row>
        <row r="15">
          <cell r="C15">
            <v>1420.4509139090001</v>
          </cell>
        </row>
        <row r="16">
          <cell r="C16">
            <v>54474.830527757003</v>
          </cell>
        </row>
        <row r="19">
          <cell r="C19">
            <v>844.83431689399993</v>
          </cell>
        </row>
        <row r="20">
          <cell r="C20">
            <v>86.800481304000002</v>
          </cell>
        </row>
        <row r="21">
          <cell r="C21">
            <v>56.418601990999996</v>
          </cell>
        </row>
        <row r="22">
          <cell r="C22">
            <v>101.163747564</v>
          </cell>
        </row>
        <row r="23">
          <cell r="C23">
            <v>86.980283909999997</v>
          </cell>
        </row>
        <row r="26">
          <cell r="C26">
            <v>68088.780246153008</v>
          </cell>
          <cell r="D26">
            <v>68088.780246153008</v>
          </cell>
          <cell r="F26">
            <v>67438.447743598997</v>
          </cell>
        </row>
        <row r="28">
          <cell r="C28">
            <v>65.484672329999995</v>
          </cell>
        </row>
        <row r="29">
          <cell r="C29">
            <v>1389.4576817059999</v>
          </cell>
        </row>
        <row r="30">
          <cell r="C30">
            <v>862.55874646799998</v>
          </cell>
        </row>
        <row r="31">
          <cell r="C31">
            <v>2306.2884858810003</v>
          </cell>
        </row>
        <row r="32">
          <cell r="C32">
            <v>919.91042525900002</v>
          </cell>
        </row>
        <row r="33">
          <cell r="C33">
            <v>468.08216623500005</v>
          </cell>
        </row>
        <row r="34">
          <cell r="C34">
            <v>32079.496102151003</v>
          </cell>
        </row>
        <row r="37">
          <cell r="C37">
            <v>545.66200671400009</v>
          </cell>
        </row>
        <row r="38">
          <cell r="C38">
            <v>34.189408188000002</v>
          </cell>
        </row>
        <row r="39">
          <cell r="C39">
            <v>37.970289285</v>
          </cell>
        </row>
        <row r="40">
          <cell r="C40">
            <v>60.656325121000002</v>
          </cell>
        </row>
        <row r="41">
          <cell r="C41">
            <v>65.637013776000003</v>
          </cell>
        </row>
        <row r="43">
          <cell r="C43">
            <v>38835.393323114011</v>
          </cell>
          <cell r="D43">
            <v>38835.393323114011</v>
          </cell>
          <cell r="F43">
            <v>36406.787748003997</v>
          </cell>
        </row>
        <row r="49">
          <cell r="C49">
            <v>3288.1758949000005</v>
          </cell>
          <cell r="E49">
            <v>3419.2373834</v>
          </cell>
        </row>
        <row r="54">
          <cell r="C54">
            <v>2.4729597610000056</v>
          </cell>
          <cell r="E54">
            <v>4.2940700679999964</v>
          </cell>
        </row>
        <row r="61">
          <cell r="C61">
            <v>3.6909646</v>
          </cell>
          <cell r="E61">
            <v>12.603990329</v>
          </cell>
        </row>
        <row r="62">
          <cell r="C62">
            <v>0.61987220899999995</v>
          </cell>
          <cell r="E62">
            <v>7.4501800889999998</v>
          </cell>
        </row>
        <row r="63">
          <cell r="C63">
            <v>8.1627478139999994</v>
          </cell>
          <cell r="E63">
            <v>86.898214598999999</v>
          </cell>
        </row>
        <row r="64">
          <cell r="C64">
            <v>12.813927629</v>
          </cell>
          <cell r="E64">
            <v>12.813927629</v>
          </cell>
        </row>
        <row r="65">
          <cell r="C65">
            <v>0.14868919999999999</v>
          </cell>
          <cell r="E65">
            <v>4.8626668479999999</v>
          </cell>
        </row>
        <row r="66">
          <cell r="C66">
            <v>401.00267121100001</v>
          </cell>
          <cell r="E66">
            <v>1085.0955059830001</v>
          </cell>
        </row>
        <row r="67">
          <cell r="C67">
            <v>3.3453912649999999</v>
          </cell>
          <cell r="E67">
            <v>4.4639498639999999</v>
          </cell>
        </row>
        <row r="68">
          <cell r="C68">
            <v>2.474240725</v>
          </cell>
          <cell r="E68">
            <v>3.1365620230000002</v>
          </cell>
        </row>
        <row r="69">
          <cell r="C69">
            <v>0.77516288099999997</v>
          </cell>
          <cell r="E69">
            <v>1.403081271</v>
          </cell>
        </row>
        <row r="70">
          <cell r="C70">
            <v>2.8010901010000002</v>
          </cell>
          <cell r="E70">
            <v>4.4971767690000002</v>
          </cell>
        </row>
        <row r="71">
          <cell r="C71">
            <v>0.44461519999999999</v>
          </cell>
          <cell r="E71">
            <v>0.44461519999999999</v>
          </cell>
        </row>
        <row r="77">
          <cell r="C77">
            <v>3.3202314100000003</v>
          </cell>
          <cell r="E77">
            <v>10.943974465</v>
          </cell>
        </row>
        <row r="78">
          <cell r="C78">
            <v>0.53872428899999991</v>
          </cell>
          <cell r="E78">
            <v>6.5721391650000003</v>
          </cell>
        </row>
        <row r="79">
          <cell r="C79">
            <v>7.2531033389999999</v>
          </cell>
          <cell r="E79">
            <v>77.865547253999992</v>
          </cell>
        </row>
        <row r="80">
          <cell r="C80">
            <v>9.0118232850000002</v>
          </cell>
          <cell r="E80">
            <v>9.0118232850000002</v>
          </cell>
        </row>
        <row r="81">
          <cell r="C81">
            <v>4.7483600000000001E-2</v>
          </cell>
          <cell r="E81">
            <v>4.2900636969999999</v>
          </cell>
        </row>
        <row r="82">
          <cell r="C82">
            <v>346.71464363299998</v>
          </cell>
          <cell r="E82">
            <v>961.17367607900007</v>
          </cell>
        </row>
        <row r="83">
          <cell r="C83">
            <v>2.6458154329999997</v>
          </cell>
          <cell r="E83">
            <v>3.6525181719999997</v>
          </cell>
        </row>
        <row r="84">
          <cell r="C84">
            <v>2.2268172910000001</v>
          </cell>
          <cell r="E84">
            <v>2.8229065090000001</v>
          </cell>
        </row>
        <row r="85">
          <cell r="C85">
            <v>0.69740196100000007</v>
          </cell>
          <cell r="E85">
            <v>1.262557876</v>
          </cell>
        </row>
        <row r="86">
          <cell r="C86">
            <v>2.5020758459999999</v>
          </cell>
          <cell r="E86">
            <v>4.0401801930000003</v>
          </cell>
        </row>
        <row r="87">
          <cell r="C87">
            <v>0.40015367999999996</v>
          </cell>
          <cell r="E87">
            <v>0.40015367999999996</v>
          </cell>
        </row>
        <row r="89">
          <cell r="C89">
            <v>18.734084325000001</v>
          </cell>
          <cell r="E89">
            <v>22.086150316999998</v>
          </cell>
        </row>
        <row r="91">
          <cell r="D91">
            <v>42.187014742999907</v>
          </cell>
          <cell r="F91">
            <v>119.54817991200002</v>
          </cell>
        </row>
        <row r="113">
          <cell r="D113">
            <v>7195.0995502320002</v>
          </cell>
          <cell r="F113">
            <v>5757.2913941300003</v>
          </cell>
        </row>
        <row r="115">
          <cell r="D115">
            <v>642.07934182600002</v>
          </cell>
          <cell r="F115">
            <v>574.16186102100005</v>
          </cell>
        </row>
        <row r="119">
          <cell r="D119">
            <v>0.05</v>
          </cell>
          <cell r="F119">
            <v>0.05</v>
          </cell>
        </row>
        <row r="120">
          <cell r="D120">
            <v>0.05</v>
          </cell>
          <cell r="F120">
            <v>0.05</v>
          </cell>
        </row>
        <row r="121">
          <cell r="D121">
            <v>0.03</v>
          </cell>
          <cell r="F121">
            <v>0.03</v>
          </cell>
        </row>
        <row r="122">
          <cell r="D122">
            <v>0.03</v>
          </cell>
          <cell r="F122">
            <v>0.03</v>
          </cell>
        </row>
        <row r="124">
          <cell r="D124">
            <v>0.52</v>
          </cell>
          <cell r="F124">
            <v>0.52</v>
          </cell>
        </row>
        <row r="129">
          <cell r="D129">
            <v>2.0998617039999998</v>
          </cell>
          <cell r="F129">
            <v>1.8209302000000001</v>
          </cell>
        </row>
        <row r="130">
          <cell r="D130">
            <v>6.200139429</v>
          </cell>
          <cell r="F130">
            <v>6.1968694289999995</v>
          </cell>
        </row>
        <row r="133">
          <cell r="D133">
            <v>0.55589999999999995</v>
          </cell>
          <cell r="F133">
            <v>0.46325</v>
          </cell>
        </row>
        <row r="134">
          <cell r="D134">
            <v>41.253665754000004</v>
          </cell>
          <cell r="F134">
            <v>41.093311154000006</v>
          </cell>
        </row>
        <row r="139">
          <cell r="C139">
            <v>6.2001394289999956</v>
          </cell>
          <cell r="E139">
            <v>6.1968694289999924</v>
          </cell>
        </row>
        <row r="140">
          <cell r="C140">
            <v>0.55589999999999995</v>
          </cell>
          <cell r="E140">
            <v>0.46325</v>
          </cell>
        </row>
        <row r="141">
          <cell r="C141">
            <v>41.253665754000004</v>
          </cell>
          <cell r="E141">
            <v>41.093311154000006</v>
          </cell>
        </row>
        <row r="146">
          <cell r="C146">
            <v>0.05</v>
          </cell>
          <cell r="E146">
            <v>0.05</v>
          </cell>
        </row>
        <row r="147">
          <cell r="C147">
            <v>0.03</v>
          </cell>
          <cell r="E147">
            <v>0.03</v>
          </cell>
        </row>
        <row r="148">
          <cell r="C148">
            <v>0.03</v>
          </cell>
          <cell r="E148">
            <v>0.03</v>
          </cell>
        </row>
        <row r="157">
          <cell r="D157">
            <v>153.9352332</v>
          </cell>
          <cell r="F157">
            <v>91.206204</v>
          </cell>
        </row>
        <row r="162">
          <cell r="D162">
            <v>4340.3346837788831</v>
          </cell>
          <cell r="F162">
            <v>7256.1938187397327</v>
          </cell>
        </row>
        <row r="174">
          <cell r="D174">
            <v>281.01642487299995</v>
          </cell>
          <cell r="F174">
            <v>238.76932591899995</v>
          </cell>
        </row>
        <row r="175">
          <cell r="D175">
            <v>-276.16423277299992</v>
          </cell>
          <cell r="F175">
            <v>-233.91713381899996</v>
          </cell>
        </row>
        <row r="176">
          <cell r="D176">
            <v>-4.8521920999999999</v>
          </cell>
          <cell r="F176">
            <v>-4.8521920999999999</v>
          </cell>
        </row>
        <row r="183">
          <cell r="D183">
            <v>203.595050566</v>
          </cell>
          <cell r="F183">
            <v>203.595050566</v>
          </cell>
        </row>
        <row r="184">
          <cell r="D184">
            <v>-203.595050566</v>
          </cell>
          <cell r="F184">
            <v>-203.595050566</v>
          </cell>
        </row>
        <row r="188">
          <cell r="D188">
            <v>76.211765499999998</v>
          </cell>
          <cell r="F188">
            <v>76.211765499999998</v>
          </cell>
        </row>
        <row r="189">
          <cell r="D189">
            <v>-76.211765499999998</v>
          </cell>
          <cell r="F189">
            <v>-76.211765499999998</v>
          </cell>
        </row>
        <row r="202">
          <cell r="D202">
            <v>335.36731889400039</v>
          </cell>
          <cell r="F202">
            <v>296.60033398299993</v>
          </cell>
        </row>
        <row r="221">
          <cell r="D221">
            <v>0</v>
          </cell>
          <cell r="F221">
            <v>0</v>
          </cell>
        </row>
        <row r="223">
          <cell r="D223">
            <v>0</v>
          </cell>
          <cell r="F223">
            <v>1.4262655</v>
          </cell>
        </row>
        <row r="224">
          <cell r="D224">
            <v>413.56195018599999</v>
          </cell>
          <cell r="F224">
            <v>323.902233663</v>
          </cell>
        </row>
        <row r="229">
          <cell r="D229">
            <v>0</v>
          </cell>
          <cell r="F229">
            <v>0</v>
          </cell>
        </row>
        <row r="242">
          <cell r="D242">
            <v>2034.031780514</v>
          </cell>
          <cell r="F242">
            <v>1193.6860641599999</v>
          </cell>
        </row>
        <row r="248">
          <cell r="D248">
            <v>317.02863434799997</v>
          </cell>
          <cell r="F248">
            <v>318.00257912000001</v>
          </cell>
        </row>
        <row r="256">
          <cell r="D256">
            <v>0</v>
          </cell>
        </row>
        <row r="258">
          <cell r="D258">
            <v>0</v>
          </cell>
          <cell r="F258">
            <v>0</v>
          </cell>
        </row>
        <row r="263">
          <cell r="D263">
            <v>113.080399077</v>
          </cell>
          <cell r="E263">
            <v>64.560518199000001</v>
          </cell>
        </row>
        <row r="283">
          <cell r="D283">
            <v>973.10106887300003</v>
          </cell>
          <cell r="F283">
            <v>963.87835612999993</v>
          </cell>
        </row>
        <row r="284">
          <cell r="D284">
            <v>-410.59314440600002</v>
          </cell>
          <cell r="F284">
            <v>-385.94918471199998</v>
          </cell>
        </row>
        <row r="285">
          <cell r="D285">
            <v>-83.069232370999998</v>
          </cell>
          <cell r="F285">
            <v>-39.395743226999997</v>
          </cell>
        </row>
        <row r="300">
          <cell r="D300">
            <v>25461.11701010312</v>
          </cell>
          <cell r="F300">
            <v>17339.525244969271</v>
          </cell>
        </row>
        <row r="301">
          <cell r="D301">
            <v>-183.68105705100001</v>
          </cell>
          <cell r="F301">
            <v>-183.68105705100001</v>
          </cell>
        </row>
        <row r="304">
          <cell r="D304">
            <v>1646.6154007600001</v>
          </cell>
          <cell r="F304">
            <v>5564.6297004089993</v>
          </cell>
        </row>
        <row r="309">
          <cell r="D309">
            <v>6.8380321949999985</v>
          </cell>
          <cell r="F309">
            <v>263.66342570199998</v>
          </cell>
        </row>
        <row r="314">
          <cell r="D314">
            <v>0</v>
          </cell>
          <cell r="F314">
            <v>0</v>
          </cell>
        </row>
        <row r="315">
          <cell r="D315">
            <v>1.139657E-2</v>
          </cell>
          <cell r="F315">
            <v>1.4654745E-2</v>
          </cell>
        </row>
        <row r="336">
          <cell r="D336">
            <v>1.8876684990000001</v>
          </cell>
          <cell r="F336">
            <v>1.781401367</v>
          </cell>
        </row>
        <row r="337">
          <cell r="D337">
            <v>0</v>
          </cell>
          <cell r="F337">
            <v>0</v>
          </cell>
        </row>
        <row r="339">
          <cell r="D339">
            <v>0</v>
          </cell>
        </row>
        <row r="353">
          <cell r="D353">
            <v>5.2565079959999998</v>
          </cell>
          <cell r="F353">
            <v>3.1424890649999999</v>
          </cell>
        </row>
        <row r="355">
          <cell r="D355">
            <v>0</v>
          </cell>
          <cell r="F355">
            <v>0</v>
          </cell>
        </row>
        <row r="360">
          <cell r="D360">
            <v>0.88386330000000002</v>
          </cell>
          <cell r="F360">
            <v>2.940679668</v>
          </cell>
        </row>
        <row r="362">
          <cell r="D362">
            <v>237.73336224599998</v>
          </cell>
          <cell r="F362">
            <v>111.79517301700001</v>
          </cell>
        </row>
        <row r="368">
          <cell r="D368">
            <v>214.34562678399999</v>
          </cell>
          <cell r="F368">
            <v>151.86845547300001</v>
          </cell>
        </row>
        <row r="369">
          <cell r="D369">
            <v>9.9999999999999995E-8</v>
          </cell>
          <cell r="F369">
            <v>1.7416499999999999</v>
          </cell>
        </row>
        <row r="376">
          <cell r="D376">
            <v>56.918956399999999</v>
          </cell>
          <cell r="F376">
            <v>27.308217500000001</v>
          </cell>
        </row>
        <row r="380">
          <cell r="D380">
            <v>37.949311001999995</v>
          </cell>
          <cell r="F380">
            <v>35.312575172000003</v>
          </cell>
        </row>
        <row r="382">
          <cell r="D382">
            <v>26.153931013999998</v>
          </cell>
          <cell r="F382">
            <v>27.608270213999997</v>
          </cell>
        </row>
        <row r="384">
          <cell r="D384">
            <v>294.62884841399995</v>
          </cell>
          <cell r="F384">
            <v>408.85345701</v>
          </cell>
        </row>
        <row r="388">
          <cell r="D388">
            <v>474.06089685799998</v>
          </cell>
          <cell r="F388">
            <v>461.36615917400002</v>
          </cell>
        </row>
        <row r="389">
          <cell r="D389">
            <v>0</v>
          </cell>
          <cell r="F389">
            <v>0</v>
          </cell>
        </row>
        <row r="394">
          <cell r="D394">
            <v>26304.186329426</v>
          </cell>
          <cell r="F394">
            <v>26009.637229426</v>
          </cell>
        </row>
        <row r="402">
          <cell r="D402">
            <v>-9299.160701539</v>
          </cell>
          <cell r="F402">
            <v>-8488.3401748070009</v>
          </cell>
        </row>
        <row r="403">
          <cell r="D403">
            <v>-901.67684003299996</v>
          </cell>
          <cell r="F403">
            <v>265.27238875299997</v>
          </cell>
        </row>
        <row r="415">
          <cell r="D415">
            <v>10137.817903200003</v>
          </cell>
          <cell r="F415">
            <v>8251.9965542999998</v>
          </cell>
        </row>
        <row r="417">
          <cell r="D417">
            <v>12193.656773153403</v>
          </cell>
          <cell r="F417">
            <v>14703.602742297424</v>
          </cell>
        </row>
        <row r="450">
          <cell r="D450">
            <v>1998.0761355999998</v>
          </cell>
          <cell r="F450">
            <v>1315.7896163999997</v>
          </cell>
        </row>
        <row r="458">
          <cell r="D458">
            <v>0</v>
          </cell>
          <cell r="E458">
            <v>0</v>
          </cell>
        </row>
        <row r="461">
          <cell r="D461">
            <v>243.5430308</v>
          </cell>
          <cell r="F461">
            <v>255.4055482</v>
          </cell>
        </row>
        <row r="465">
          <cell r="D465">
            <v>144.75851849999998</v>
          </cell>
          <cell r="F465">
            <v>156.4779509</v>
          </cell>
        </row>
        <row r="472">
          <cell r="D472">
            <v>0</v>
          </cell>
          <cell r="F472">
            <v>0</v>
          </cell>
        </row>
        <row r="473">
          <cell r="B473" t="str">
            <v>GOM -Central Financial Assistance</v>
          </cell>
          <cell r="D473">
            <v>6.6902387000000001</v>
          </cell>
          <cell r="F473">
            <v>4.0669728000000003</v>
          </cell>
        </row>
        <row r="482">
          <cell r="D482">
            <v>2858.522720325645</v>
          </cell>
          <cell r="F482">
            <v>2926.5594399255865</v>
          </cell>
        </row>
        <row r="485">
          <cell r="D485">
            <v>719.79877039999997</v>
          </cell>
          <cell r="F485">
            <v>558.20255659999998</v>
          </cell>
        </row>
        <row r="486">
          <cell r="D486">
            <v>784.35546490000002</v>
          </cell>
          <cell r="F486">
            <v>595.24605069999996</v>
          </cell>
        </row>
        <row r="492">
          <cell r="E492">
            <v>0.25</v>
          </cell>
        </row>
        <row r="496">
          <cell r="C496">
            <v>560.20862350000004</v>
          </cell>
          <cell r="E496">
            <v>364.96133279999998</v>
          </cell>
        </row>
        <row r="497">
          <cell r="E497">
            <v>63.681047399999997</v>
          </cell>
        </row>
        <row r="498">
          <cell r="E498">
            <v>93.521071399999997</v>
          </cell>
        </row>
        <row r="499">
          <cell r="E499">
            <v>132.26029053900001</v>
          </cell>
        </row>
        <row r="501">
          <cell r="D501">
            <v>849.92103283900008</v>
          </cell>
        </row>
        <row r="509">
          <cell r="C509">
            <v>2096.34</v>
          </cell>
        </row>
        <row r="510">
          <cell r="C510">
            <v>735</v>
          </cell>
        </row>
        <row r="511">
          <cell r="C511">
            <v>2957.09</v>
          </cell>
        </row>
        <row r="512">
          <cell r="C512">
            <v>699.99914660000002</v>
          </cell>
        </row>
        <row r="513">
          <cell r="C513">
            <v>340.47692602699999</v>
          </cell>
        </row>
        <row r="514">
          <cell r="C514">
            <v>1040.9749773000001</v>
          </cell>
        </row>
        <row r="517">
          <cell r="C517">
            <v>-3.8269318969999997</v>
          </cell>
          <cell r="E517">
            <v>-3.8269318969999997</v>
          </cell>
        </row>
        <row r="518">
          <cell r="C518">
            <v>3.6890032439999998</v>
          </cell>
          <cell r="E518">
            <v>3.8184885950000003</v>
          </cell>
        </row>
        <row r="519">
          <cell r="C519">
            <v>-5.9287999999999999E-5</v>
          </cell>
          <cell r="E519">
            <v>-5.9287999999999999E-5</v>
          </cell>
        </row>
        <row r="520">
          <cell r="C520">
            <v>-9.3992329999999999E-3</v>
          </cell>
          <cell r="E520">
            <v>583.95762063900008</v>
          </cell>
        </row>
        <row r="521">
          <cell r="C521">
            <v>29.491588554000003</v>
          </cell>
          <cell r="E521">
            <v>29.491588554000003</v>
          </cell>
        </row>
        <row r="522">
          <cell r="C522">
            <v>-6.8331231810000004</v>
          </cell>
          <cell r="E522">
            <v>-14.548362383000001</v>
          </cell>
        </row>
        <row r="523">
          <cell r="C523">
            <v>0</v>
          </cell>
          <cell r="E523">
            <v>0</v>
          </cell>
        </row>
        <row r="524">
          <cell r="C524">
            <v>1.060801968</v>
          </cell>
          <cell r="E524">
            <v>0.264445608</v>
          </cell>
        </row>
        <row r="525">
          <cell r="C525">
            <v>0</v>
          </cell>
          <cell r="E525">
            <v>0</v>
          </cell>
        </row>
        <row r="526">
          <cell r="C526">
            <v>13.113797651</v>
          </cell>
          <cell r="E526">
            <v>9.6951829510000014</v>
          </cell>
        </row>
        <row r="527">
          <cell r="C527">
            <v>0</v>
          </cell>
          <cell r="E527">
            <v>0</v>
          </cell>
        </row>
        <row r="528">
          <cell r="C528">
            <v>-1.2201471E-2</v>
          </cell>
          <cell r="E528">
            <v>-3.1658709999999998E-3</v>
          </cell>
        </row>
        <row r="530">
          <cell r="C530">
            <v>-0.48711518200000004</v>
          </cell>
          <cell r="E530">
            <v>-3.6665582000000002E-2</v>
          </cell>
        </row>
        <row r="531">
          <cell r="C531">
            <v>0</v>
          </cell>
          <cell r="E531">
            <v>0</v>
          </cell>
        </row>
        <row r="532">
          <cell r="D532">
            <v>7906.0674110919999</v>
          </cell>
          <cell r="F532">
            <v>8430.3274375890014</v>
          </cell>
        </row>
        <row r="539">
          <cell r="C539">
            <v>412.49298629999998</v>
          </cell>
        </row>
        <row r="544">
          <cell r="C544">
            <v>3007.3649362000001</v>
          </cell>
        </row>
        <row r="553">
          <cell r="D553">
            <v>3419.8579225000003</v>
          </cell>
          <cell r="F553">
            <v>4212.8707618999997</v>
          </cell>
        </row>
        <row r="554">
          <cell r="D554">
            <v>2930.4689049626008</v>
          </cell>
          <cell r="F554">
            <v>3008.6983286605678</v>
          </cell>
        </row>
        <row r="561">
          <cell r="C561">
            <v>37.499997899999997</v>
          </cell>
          <cell r="E561">
            <v>137.49999869999999</v>
          </cell>
        </row>
        <row r="576">
          <cell r="D576">
            <v>1787.499998</v>
          </cell>
          <cell r="F576">
            <v>1620.8333318999998</v>
          </cell>
        </row>
        <row r="581">
          <cell r="D581">
            <v>173.91196567135512</v>
          </cell>
          <cell r="F581">
            <v>143.34015883641399</v>
          </cell>
        </row>
        <row r="585">
          <cell r="D585">
            <v>1.85664096065643</v>
          </cell>
          <cell r="F585">
            <v>1.00184668666744</v>
          </cell>
        </row>
        <row r="643">
          <cell r="D643">
            <v>9747.6502665793432</v>
          </cell>
          <cell r="F643">
            <v>8102.1865365563317</v>
          </cell>
        </row>
        <row r="650">
          <cell r="D650">
            <v>1541.637363801</v>
          </cell>
          <cell r="F650">
            <v>1619.7648576329998</v>
          </cell>
        </row>
        <row r="659">
          <cell r="D659">
            <v>187.42987904099999</v>
          </cell>
          <cell r="F659">
            <v>245.48209451700001</v>
          </cell>
        </row>
        <row r="661">
          <cell r="E661">
            <v>13.0395278</v>
          </cell>
        </row>
        <row r="664">
          <cell r="E664">
            <v>51.338448</v>
          </cell>
        </row>
        <row r="671">
          <cell r="D671">
            <v>126.15593710000002</v>
          </cell>
          <cell r="F671">
            <v>107.9310807</v>
          </cell>
        </row>
        <row r="673">
          <cell r="D673">
            <v>82.373988901000004</v>
          </cell>
          <cell r="F673">
            <v>109.202121408</v>
          </cell>
        </row>
        <row r="685">
          <cell r="D685">
            <v>878.55733773499992</v>
          </cell>
          <cell r="F685">
            <v>845.82049583800006</v>
          </cell>
        </row>
        <row r="686">
          <cell r="D686">
            <v>319.35688073200004</v>
          </cell>
          <cell r="F686">
            <v>223.98553004099998</v>
          </cell>
        </row>
        <row r="687">
          <cell r="D687">
            <v>473.56399540000001</v>
          </cell>
          <cell r="F687">
            <v>487.7325586</v>
          </cell>
        </row>
        <row r="694">
          <cell r="D694">
            <v>344.66732127199998</v>
          </cell>
          <cell r="F694">
            <v>372.58907349700007</v>
          </cell>
        </row>
        <row r="722">
          <cell r="D722">
            <v>379.78044301100005</v>
          </cell>
          <cell r="F722">
            <v>96.164346129999998</v>
          </cell>
        </row>
        <row r="733">
          <cell r="D733">
            <v>18</v>
          </cell>
          <cell r="F733">
            <v>81.686899999999994</v>
          </cell>
        </row>
        <row r="748">
          <cell r="D748">
            <v>57.264259690000003</v>
          </cell>
          <cell r="F748">
            <v>42.332451702</v>
          </cell>
        </row>
        <row r="754">
          <cell r="D754">
            <v>1.300031347</v>
          </cell>
          <cell r="F754">
            <v>0.61250196800000001</v>
          </cell>
        </row>
        <row r="770">
          <cell r="D770">
            <v>0.16332019199999998</v>
          </cell>
          <cell r="F770">
            <v>9.8194741000000002E-2</v>
          </cell>
        </row>
        <row r="806">
          <cell r="D806">
            <v>78.035198754999996</v>
          </cell>
          <cell r="F806">
            <v>57.491849813999998</v>
          </cell>
        </row>
        <row r="810">
          <cell r="D810">
            <v>0.14219699999999999</v>
          </cell>
          <cell r="F810">
            <v>0.13512250000000001</v>
          </cell>
        </row>
        <row r="815">
          <cell r="D815">
            <v>117.16416536000008</v>
          </cell>
          <cell r="F815">
            <v>97.033344397000064</v>
          </cell>
        </row>
        <row r="816">
          <cell r="D816">
            <v>165.47962041200003</v>
          </cell>
          <cell r="F816">
            <v>142.04039931199998</v>
          </cell>
        </row>
        <row r="1447">
          <cell r="I1447">
            <v>-183.68105705100001</v>
          </cell>
        </row>
      </sheetData>
      <sheetData sheetId="6">
        <row r="19">
          <cell r="D19">
            <v>-925.14309129899993</v>
          </cell>
          <cell r="F19">
            <v>4782.3322485070003</v>
          </cell>
        </row>
        <row r="24">
          <cell r="E24">
            <v>29673.347245310008</v>
          </cell>
          <cell r="G24">
            <v>28887.792758649004</v>
          </cell>
        </row>
        <row r="28">
          <cell r="E28">
            <v>184.70916178499999</v>
          </cell>
          <cell r="G28">
            <v>117.87754211099998</v>
          </cell>
        </row>
        <row r="29">
          <cell r="E29">
            <v>218.563669616</v>
          </cell>
          <cell r="G29">
            <v>116.40306378199999</v>
          </cell>
        </row>
        <row r="31">
          <cell r="E31">
            <v>0</v>
          </cell>
          <cell r="G31">
            <v>0</v>
          </cell>
        </row>
        <row r="41">
          <cell r="E41">
            <v>5.85865E-2</v>
          </cell>
          <cell r="G41">
            <v>0.22902478000000004</v>
          </cell>
        </row>
        <row r="42">
          <cell r="E42">
            <v>2674.1801744999998</v>
          </cell>
          <cell r="G42">
            <v>3949.250313</v>
          </cell>
        </row>
        <row r="52">
          <cell r="E52">
            <v>4.524508934</v>
          </cell>
          <cell r="G52">
            <v>4.4345818419999992</v>
          </cell>
        </row>
        <row r="60">
          <cell r="E60">
            <v>144.66125667700001</v>
          </cell>
          <cell r="G60">
            <v>1.6363926129999999</v>
          </cell>
        </row>
        <row r="62">
          <cell r="E62">
            <v>21.564345992</v>
          </cell>
          <cell r="G62">
            <v>31.438449506999998</v>
          </cell>
        </row>
        <row r="64">
          <cell r="E64">
            <v>7.0211863999999999E-2</v>
          </cell>
          <cell r="G64">
            <v>5.0000000000000001E-3</v>
          </cell>
        </row>
        <row r="65">
          <cell r="E65">
            <v>814.82119799899999</v>
          </cell>
          <cell r="G65">
            <v>750.94613817599998</v>
          </cell>
        </row>
        <row r="66">
          <cell r="E66">
            <v>147.86826225499999</v>
          </cell>
          <cell r="G66">
            <v>127.91627842700002</v>
          </cell>
        </row>
        <row r="77">
          <cell r="D77">
            <v>0</v>
          </cell>
        </row>
        <row r="85">
          <cell r="E85">
            <v>20050.547405182002</v>
          </cell>
          <cell r="G85">
            <v>21404.356731277003</v>
          </cell>
        </row>
        <row r="110">
          <cell r="E110">
            <v>218.38663527800003</v>
          </cell>
          <cell r="G110">
            <v>211.03443160200001</v>
          </cell>
        </row>
        <row r="112">
          <cell r="E112">
            <v>467.46373670000003</v>
          </cell>
          <cell r="G112">
            <v>278.2720339</v>
          </cell>
        </row>
        <row r="114">
          <cell r="E114">
            <v>88.253164897000005</v>
          </cell>
        </row>
        <row r="116">
          <cell r="E116">
            <v>937.80853076000005</v>
          </cell>
          <cell r="G116">
            <v>945.23648727700004</v>
          </cell>
        </row>
        <row r="120">
          <cell r="E120">
            <v>456.46779770100011</v>
          </cell>
          <cell r="G120">
            <v>822.98541388900003</v>
          </cell>
        </row>
        <row r="131">
          <cell r="E131">
            <v>456.08801505600002</v>
          </cell>
          <cell r="G131">
            <v>325.87194726300004</v>
          </cell>
        </row>
        <row r="141">
          <cell r="E141">
            <v>1603.3047814040001</v>
          </cell>
          <cell r="G141">
            <v>1268.3000814499999</v>
          </cell>
        </row>
        <row r="159">
          <cell r="E159">
            <v>123.8299155</v>
          </cell>
          <cell r="G159">
            <v>123.9564458</v>
          </cell>
        </row>
        <row r="160">
          <cell r="E160">
            <v>434.952790123</v>
          </cell>
          <cell r="G160">
            <v>214.22030843100001</v>
          </cell>
        </row>
        <row r="168">
          <cell r="E168">
            <v>94.973433843999999</v>
          </cell>
          <cell r="G168">
            <v>100.480688606</v>
          </cell>
        </row>
        <row r="184">
          <cell r="I184">
            <v>11.16</v>
          </cell>
        </row>
        <row r="194">
          <cell r="E194">
            <v>171.61805000000001</v>
          </cell>
          <cell r="G194">
            <v>19.753063399999998</v>
          </cell>
        </row>
        <row r="197">
          <cell r="E197">
            <v>3266.8770370450002</v>
          </cell>
          <cell r="G197">
            <v>3129.0541158280007</v>
          </cell>
        </row>
        <row r="198">
          <cell r="I198">
            <v>19.41</v>
          </cell>
        </row>
        <row r="199">
          <cell r="D199">
            <v>688.52717658300003</v>
          </cell>
          <cell r="F199">
            <v>627.01818824500003</v>
          </cell>
        </row>
        <row r="203">
          <cell r="I203">
            <v>3.63</v>
          </cell>
        </row>
        <row r="212">
          <cell r="E212">
            <v>327.61980563499998</v>
          </cell>
          <cell r="G212">
            <v>331.19554014899995</v>
          </cell>
        </row>
        <row r="214">
          <cell r="E214">
            <v>16.444166872</v>
          </cell>
        </row>
        <row r="224">
          <cell r="E224">
            <v>1.1747913679999999</v>
          </cell>
          <cell r="G224">
            <v>1.7107022679999999</v>
          </cell>
        </row>
        <row r="225">
          <cell r="E225">
            <v>81.428250000000006</v>
          </cell>
          <cell r="G225">
            <v>82.875600000000006</v>
          </cell>
        </row>
        <row r="227">
          <cell r="E227">
            <v>1569.2609407279999</v>
          </cell>
          <cell r="G227">
            <v>1527.900578455</v>
          </cell>
        </row>
        <row r="236">
          <cell r="E236">
            <v>0.48867130199999997</v>
          </cell>
          <cell r="G236">
            <v>0.76706291599999998</v>
          </cell>
        </row>
        <row r="243">
          <cell r="E243">
            <v>26.421654663999998</v>
          </cell>
          <cell r="G243">
            <v>26.221091080999997</v>
          </cell>
        </row>
        <row r="247">
          <cell r="E247">
            <v>37.368373397000006</v>
          </cell>
          <cell r="G247">
            <v>51.636109961999999</v>
          </cell>
        </row>
        <row r="249">
          <cell r="E249">
            <v>12.276476469000002</v>
          </cell>
          <cell r="G249">
            <v>28.635460676000001</v>
          </cell>
        </row>
        <row r="253">
          <cell r="E253">
            <v>24.146281619</v>
          </cell>
          <cell r="G253">
            <v>0</v>
          </cell>
        </row>
        <row r="255">
          <cell r="E255">
            <v>0.174520801</v>
          </cell>
          <cell r="G255">
            <v>0.17906525300000001</v>
          </cell>
        </row>
        <row r="257">
          <cell r="E257">
            <v>48.744779434999991</v>
          </cell>
          <cell r="G257">
            <v>39.113139724</v>
          </cell>
        </row>
        <row r="262">
          <cell r="E262">
            <v>0</v>
          </cell>
          <cell r="G262">
            <v>0</v>
          </cell>
        </row>
        <row r="263">
          <cell r="E263">
            <v>10.1295114</v>
          </cell>
          <cell r="G263">
            <v>18.280990943999999</v>
          </cell>
        </row>
        <row r="267">
          <cell r="E267">
            <v>10.056178158</v>
          </cell>
          <cell r="G267">
            <v>7.0382001300000008</v>
          </cell>
        </row>
        <row r="268">
          <cell r="E268">
            <v>47.370661446</v>
          </cell>
          <cell r="G268">
            <v>10.746824050000001</v>
          </cell>
        </row>
        <row r="269">
          <cell r="E269">
            <v>0</v>
          </cell>
          <cell r="G269">
            <v>2255.4344792000002</v>
          </cell>
        </row>
        <row r="270">
          <cell r="E270">
            <v>162.60806342999999</v>
          </cell>
          <cell r="G270">
            <v>142.994912196</v>
          </cell>
        </row>
        <row r="271">
          <cell r="E271">
            <v>72.163088553999998</v>
          </cell>
          <cell r="G271">
            <v>70.190652495999998</v>
          </cell>
          <cell r="I271">
            <v>4.2</v>
          </cell>
        </row>
        <row r="272">
          <cell r="E272">
            <v>40.774621467999999</v>
          </cell>
          <cell r="G272">
            <v>35.740997724000003</v>
          </cell>
        </row>
        <row r="274">
          <cell r="E274">
            <v>83.284116881999992</v>
          </cell>
          <cell r="G274">
            <v>75.007526737999996</v>
          </cell>
        </row>
        <row r="317">
          <cell r="E317">
            <v>0</v>
          </cell>
          <cell r="G317">
            <v>0.29646620099999998</v>
          </cell>
        </row>
        <row r="318">
          <cell r="E318">
            <v>1.899663E-3</v>
          </cell>
          <cell r="G318">
            <v>5.5115138110000004</v>
          </cell>
        </row>
        <row r="319">
          <cell r="E319">
            <v>68.784941700000005</v>
          </cell>
          <cell r="G319">
            <v>179.08925009999999</v>
          </cell>
        </row>
        <row r="322">
          <cell r="E322">
            <v>0.88725559999999992</v>
          </cell>
          <cell r="G322">
            <v>0.64500000000000002</v>
          </cell>
        </row>
        <row r="324">
          <cell r="E324">
            <v>1.5889400000000001E-2</v>
          </cell>
          <cell r="G324">
            <v>1.5889400000000001E-2</v>
          </cell>
        </row>
        <row r="325">
          <cell r="E325">
            <v>0.11755500000000001</v>
          </cell>
          <cell r="G325">
            <v>0.11755500000000001</v>
          </cell>
        </row>
        <row r="328">
          <cell r="E328">
            <v>2687.7448922469998</v>
          </cell>
          <cell r="G328">
            <v>2847.2569642380004</v>
          </cell>
        </row>
        <row r="336">
          <cell r="I336">
            <v>1.29</v>
          </cell>
        </row>
        <row r="347">
          <cell r="E347">
            <v>0</v>
          </cell>
          <cell r="G347">
            <v>0</v>
          </cell>
        </row>
        <row r="357">
          <cell r="E357">
            <v>0</v>
          </cell>
          <cell r="G357">
            <v>0</v>
          </cell>
        </row>
        <row r="382">
          <cell r="D382">
            <v>139.29269189999999</v>
          </cell>
        </row>
      </sheetData>
      <sheetData sheetId="7">
        <row r="263">
          <cell r="I263">
            <v>8.2676594290000001</v>
          </cell>
          <cell r="J263">
            <v>8.2643894289999995</v>
          </cell>
        </row>
      </sheetData>
      <sheetData sheetId="8">
        <row r="29">
          <cell r="A29">
            <v>-198752717.13999939</v>
          </cell>
        </row>
        <row r="33">
          <cell r="R33">
            <v>-6646974782</v>
          </cell>
        </row>
        <row r="34">
          <cell r="R34">
            <v>-770005</v>
          </cell>
        </row>
        <row r="35">
          <cell r="R35">
            <v>30554178.270000003</v>
          </cell>
        </row>
        <row r="36">
          <cell r="R36">
            <v>17122023</v>
          </cell>
        </row>
        <row r="37">
          <cell r="R37">
            <v>3321579.3499999996</v>
          </cell>
        </row>
        <row r="38">
          <cell r="R38">
            <v>-784727</v>
          </cell>
        </row>
        <row r="39">
          <cell r="R39">
            <v>121149538</v>
          </cell>
        </row>
        <row r="40">
          <cell r="R40">
            <v>175820</v>
          </cell>
        </row>
        <row r="41">
          <cell r="R41">
            <v>-5150805</v>
          </cell>
        </row>
        <row r="42">
          <cell r="R42">
            <v>-6869203</v>
          </cell>
        </row>
        <row r="43">
          <cell r="R43">
            <v>6678331.2199999997</v>
          </cell>
        </row>
        <row r="44">
          <cell r="R44">
            <v>161409.94</v>
          </cell>
        </row>
        <row r="46">
          <cell r="R46">
            <v>53538</v>
          </cell>
        </row>
        <row r="47">
          <cell r="R47">
            <v>278900.04000000004</v>
          </cell>
        </row>
        <row r="48">
          <cell r="R48">
            <v>9100000</v>
          </cell>
        </row>
        <row r="49">
          <cell r="R49">
            <v>-996270</v>
          </cell>
        </row>
        <row r="50">
          <cell r="R50">
            <v>4857484</v>
          </cell>
        </row>
        <row r="51">
          <cell r="R51">
            <v>1387279</v>
          </cell>
        </row>
        <row r="52">
          <cell r="R52">
            <v>4079284</v>
          </cell>
        </row>
        <row r="53">
          <cell r="R53">
            <v>188820</v>
          </cell>
        </row>
        <row r="54">
          <cell r="R54">
            <v>46447511.780000001</v>
          </cell>
        </row>
        <row r="55">
          <cell r="R55">
            <v>123014</v>
          </cell>
        </row>
        <row r="58">
          <cell r="R58">
            <v>22554344792</v>
          </cell>
        </row>
        <row r="59">
          <cell r="R59">
            <v>-33040482.469999999</v>
          </cell>
        </row>
        <row r="60">
          <cell r="R60">
            <v>-810071</v>
          </cell>
        </row>
        <row r="61">
          <cell r="R61">
            <v>-30636888</v>
          </cell>
        </row>
        <row r="62">
          <cell r="R62">
            <v>-270894842.48000002</v>
          </cell>
        </row>
        <row r="63">
          <cell r="R63">
            <v>-94578775.790000007</v>
          </cell>
        </row>
        <row r="64">
          <cell r="R64">
            <v>15708516650.860001</v>
          </cell>
        </row>
      </sheetData>
      <sheetData sheetId="9">
        <row r="5">
          <cell r="A5" t="str">
            <v>As on 31.03.2022</v>
          </cell>
        </row>
        <row r="9">
          <cell r="A9" t="str">
            <v>As at 31.03.2023</v>
          </cell>
        </row>
        <row r="11">
          <cell r="A11" t="str">
            <v>As at 31.03.2024</v>
          </cell>
        </row>
        <row r="33">
          <cell r="B33">
            <v>188.7891119040174</v>
          </cell>
        </row>
      </sheetData>
      <sheetData sheetId="10"/>
      <sheetData sheetId="11">
        <row r="107">
          <cell r="D107">
            <v>5069.376387067925</v>
          </cell>
          <cell r="E107">
            <v>3549.0466506030498</v>
          </cell>
        </row>
      </sheetData>
      <sheetData sheetId="12"/>
      <sheetData sheetId="13">
        <row r="9">
          <cell r="C9">
            <v>16661285420.889999</v>
          </cell>
          <cell r="D9">
            <v>1061067379.3423893</v>
          </cell>
          <cell r="E9">
            <v>8860475883.3345509</v>
          </cell>
          <cell r="F9">
            <v>12154695630.017099</v>
          </cell>
          <cell r="G9">
            <v>26221991246.447128</v>
          </cell>
          <cell r="H9">
            <v>11839949704.202679</v>
          </cell>
          <cell r="I9">
            <v>11838688806.665983</v>
          </cell>
          <cell r="J9">
            <v>373914403134.78302</v>
          </cell>
          <cell r="K9">
            <v>5477557655.4447975</v>
          </cell>
          <cell r="L9">
            <v>388275202.73308063</v>
          </cell>
          <cell r="M9">
            <v>357563841.15049332</v>
          </cell>
          <cell r="N9">
            <v>628729259.31330049</v>
          </cell>
          <cell r="O9">
            <v>574876135.97000003</v>
          </cell>
          <cell r="Q9">
            <v>374063164.98000002</v>
          </cell>
        </row>
        <row r="11">
          <cell r="C11">
            <v>126231702.81</v>
          </cell>
          <cell r="D11">
            <v>0</v>
          </cell>
          <cell r="E11">
            <v>-2829546.09</v>
          </cell>
          <cell r="F11">
            <v>167931107.93000001</v>
          </cell>
          <cell r="G11">
            <v>180074641.34999999</v>
          </cell>
          <cell r="H11">
            <v>337598406.94999999</v>
          </cell>
          <cell r="I11">
            <v>408677795.42000002</v>
          </cell>
          <cell r="J11">
            <v>6899659836.1300001</v>
          </cell>
          <cell r="K11">
            <v>0</v>
          </cell>
          <cell r="L11">
            <v>183760311.25999999</v>
          </cell>
          <cell r="M11">
            <v>10752101.029999999</v>
          </cell>
          <cell r="N11">
            <v>145087002.22999999</v>
          </cell>
          <cell r="Q11">
            <v>28820104.730000004</v>
          </cell>
          <cell r="R11">
            <v>0</v>
          </cell>
        </row>
        <row r="12">
          <cell r="C12">
            <v>0</v>
          </cell>
          <cell r="D12">
            <v>0</v>
          </cell>
          <cell r="E12">
            <v>0</v>
          </cell>
          <cell r="F12">
            <v>28251251.229999997</v>
          </cell>
          <cell r="G12">
            <v>0</v>
          </cell>
          <cell r="H12">
            <v>-76585985.430000007</v>
          </cell>
          <cell r="I12">
            <v>0</v>
          </cell>
          <cell r="J12">
            <v>48439625.800000004</v>
          </cell>
          <cell r="K12">
            <v>0</v>
          </cell>
          <cell r="L12">
            <v>-1635824.7</v>
          </cell>
          <cell r="M12">
            <v>4625.6500000000087</v>
          </cell>
          <cell r="N12">
            <v>31382396.630000003</v>
          </cell>
          <cell r="Q12">
            <v>1179303.8</v>
          </cell>
          <cell r="R12">
            <v>0</v>
          </cell>
        </row>
        <row r="16">
          <cell r="C16">
            <v>97535670</v>
          </cell>
          <cell r="D16">
            <v>121243070</v>
          </cell>
          <cell r="E16">
            <v>24395212.440000001</v>
          </cell>
          <cell r="F16">
            <v>206564620.70000002</v>
          </cell>
          <cell r="G16">
            <v>640009376.67000008</v>
          </cell>
          <cell r="H16">
            <v>25726266.66</v>
          </cell>
          <cell r="I16">
            <v>732749054.80999994</v>
          </cell>
          <cell r="J16">
            <v>4526731279.1200008</v>
          </cell>
          <cell r="K16">
            <v>29193972</v>
          </cell>
          <cell r="L16">
            <v>120765092.85000001</v>
          </cell>
          <cell r="M16">
            <v>14905394.630000001</v>
          </cell>
          <cell r="N16">
            <v>88333900.11999999</v>
          </cell>
          <cell r="Q16">
            <v>592345.51</v>
          </cell>
          <cell r="R16">
            <v>1264913624</v>
          </cell>
        </row>
        <row r="17">
          <cell r="C17">
            <v>0</v>
          </cell>
          <cell r="D17">
            <v>0</v>
          </cell>
          <cell r="E17">
            <v>0</v>
          </cell>
          <cell r="F17">
            <v>294140.15999999997</v>
          </cell>
          <cell r="G17">
            <v>0</v>
          </cell>
          <cell r="H17">
            <v>1202855</v>
          </cell>
          <cell r="I17">
            <v>10712661.27</v>
          </cell>
          <cell r="J17">
            <v>105278472.59</v>
          </cell>
          <cell r="K17">
            <v>27670</v>
          </cell>
          <cell r="L17">
            <v>0</v>
          </cell>
          <cell r="M17">
            <v>1795238.9999999998</v>
          </cell>
          <cell r="N17">
            <v>5516846.4400000004</v>
          </cell>
          <cell r="Q17">
            <v>0</v>
          </cell>
          <cell r="R17">
            <v>0</v>
          </cell>
        </row>
        <row r="23">
          <cell r="C23">
            <v>0</v>
          </cell>
          <cell r="D23">
            <v>311724352.84238935</v>
          </cell>
          <cell r="E23">
            <v>1647598386.7945499</v>
          </cell>
          <cell r="F23">
            <v>4749613495.7571096</v>
          </cell>
          <cell r="G23">
            <v>9037686003.2771187</v>
          </cell>
          <cell r="H23">
            <v>3253079573.8326797</v>
          </cell>
          <cell r="I23">
            <v>2521928869.8859801</v>
          </cell>
          <cell r="J23">
            <v>117894330763.83311</v>
          </cell>
          <cell r="K23">
            <v>1976929414.0247958</v>
          </cell>
          <cell r="L23">
            <v>89247727.423080593</v>
          </cell>
          <cell r="M23">
            <v>145850481.93049341</v>
          </cell>
          <cell r="N23">
            <v>291657130.56330103</v>
          </cell>
          <cell r="O23">
            <v>312675415.56999999</v>
          </cell>
          <cell r="Q23">
            <v>342631225.15000004</v>
          </cell>
          <cell r="R23">
            <v>7665869203</v>
          </cell>
        </row>
        <row r="24">
          <cell r="C24">
            <v>0</v>
          </cell>
          <cell r="D24">
            <v>47401055</v>
          </cell>
          <cell r="E24">
            <v>366522391</v>
          </cell>
          <cell r="F24">
            <v>307397167.93000001</v>
          </cell>
          <cell r="G24">
            <v>1412907828.49</v>
          </cell>
          <cell r="H24">
            <v>591666391.24000001</v>
          </cell>
          <cell r="I24">
            <v>467417507.60000002</v>
          </cell>
          <cell r="J24">
            <v>23092917216.189999</v>
          </cell>
          <cell r="K24">
            <v>268772715</v>
          </cell>
          <cell r="L24">
            <v>46919517.700000003</v>
          </cell>
          <cell r="M24">
            <v>26841433.920000002</v>
          </cell>
          <cell r="N24">
            <v>72141639.329999998</v>
          </cell>
          <cell r="O24">
            <v>37538632</v>
          </cell>
          <cell r="Q24">
            <v>17311343.879999999</v>
          </cell>
          <cell r="R24">
            <v>2538225143</v>
          </cell>
          <cell r="S24">
            <v>29105208.66</v>
          </cell>
        </row>
        <row r="25">
          <cell r="C25">
            <v>0</v>
          </cell>
          <cell r="D25">
            <v>0</v>
          </cell>
          <cell r="E25">
            <v>-75</v>
          </cell>
          <cell r="F25">
            <v>-5314695</v>
          </cell>
          <cell r="G25">
            <v>-187459.7</v>
          </cell>
          <cell r="H25">
            <v>-201822524</v>
          </cell>
          <cell r="I25">
            <v>0</v>
          </cell>
          <cell r="J25">
            <v>-584365308.84000003</v>
          </cell>
          <cell r="K25">
            <v>0</v>
          </cell>
          <cell r="L25">
            <v>0</v>
          </cell>
          <cell r="M25">
            <v>0</v>
          </cell>
          <cell r="N25">
            <v>-615068.69999999995</v>
          </cell>
          <cell r="O25">
            <v>0</v>
          </cell>
          <cell r="Q25">
            <v>0</v>
          </cell>
          <cell r="R25">
            <v>0</v>
          </cell>
        </row>
        <row r="26">
          <cell r="C26">
            <v>0</v>
          </cell>
          <cell r="D26">
            <v>0</v>
          </cell>
          <cell r="E26">
            <v>0</v>
          </cell>
          <cell r="F26">
            <v>25426126.129999999</v>
          </cell>
          <cell r="G26">
            <v>0</v>
          </cell>
          <cell r="H26">
            <v>0</v>
          </cell>
          <cell r="I26">
            <v>0</v>
          </cell>
          <cell r="J26">
            <v>9410140.3099999912</v>
          </cell>
          <cell r="K26">
            <v>0</v>
          </cell>
          <cell r="L26">
            <v>23603814.699999999</v>
          </cell>
          <cell r="M26">
            <v>186079.55</v>
          </cell>
          <cell r="N26">
            <v>29787198.02</v>
          </cell>
          <cell r="O26">
            <v>0</v>
          </cell>
          <cell r="Q26">
            <v>1179303.8</v>
          </cell>
          <cell r="R26">
            <v>0</v>
          </cell>
        </row>
        <row r="29">
          <cell r="C29">
            <v>0</v>
          </cell>
          <cell r="D29">
            <v>46611259.799999997</v>
          </cell>
          <cell r="E29">
            <v>385839378.89999992</v>
          </cell>
          <cell r="F29">
            <v>311243323.25999999</v>
          </cell>
          <cell r="G29">
            <v>1343972355.9400001</v>
          </cell>
          <cell r="H29">
            <v>455605152.80000001</v>
          </cell>
          <cell r="I29">
            <v>466310741.47000003</v>
          </cell>
          <cell r="J29">
            <v>20846860473.310001</v>
          </cell>
          <cell r="K29">
            <v>269322018</v>
          </cell>
          <cell r="L29">
            <v>55762269.960000001</v>
          </cell>
          <cell r="M29">
            <v>26073383.699999999</v>
          </cell>
          <cell r="N29">
            <v>91766155.590000004</v>
          </cell>
          <cell r="O29">
            <v>11229387.060000001</v>
          </cell>
          <cell r="Q29">
            <v>18803448.579999998</v>
          </cell>
          <cell r="R29">
            <v>2575528509</v>
          </cell>
          <cell r="S29">
            <v>22127809.900000002</v>
          </cell>
        </row>
        <row r="30">
          <cell r="C30">
            <v>0</v>
          </cell>
          <cell r="D30">
            <v>0</v>
          </cell>
          <cell r="E30">
            <v>0</v>
          </cell>
          <cell r="F30">
            <v>0</v>
          </cell>
          <cell r="G30">
            <v>0</v>
          </cell>
          <cell r="H30">
            <v>0</v>
          </cell>
          <cell r="I30">
            <v>-250134.00000000003</v>
          </cell>
          <cell r="J30">
            <v>-5100623</v>
          </cell>
          <cell r="K30">
            <v>0</v>
          </cell>
          <cell r="L30">
            <v>0</v>
          </cell>
          <cell r="M30">
            <v>0</v>
          </cell>
          <cell r="N30">
            <v>-368</v>
          </cell>
          <cell r="O30">
            <v>0</v>
          </cell>
          <cell r="Q30">
            <v>0</v>
          </cell>
          <cell r="R30">
            <v>0</v>
          </cell>
        </row>
        <row r="31">
          <cell r="C31">
            <v>0</v>
          </cell>
          <cell r="D31">
            <v>0</v>
          </cell>
          <cell r="E31">
            <v>775719</v>
          </cell>
          <cell r="F31">
            <v>-510992.86</v>
          </cell>
          <cell r="G31">
            <v>0</v>
          </cell>
          <cell r="H31">
            <v>1082570</v>
          </cell>
          <cell r="I31">
            <v>9691466.0700000003</v>
          </cell>
          <cell r="J31">
            <v>1500498.6</v>
          </cell>
          <cell r="K31">
            <v>23291.38</v>
          </cell>
          <cell r="L31">
            <v>0</v>
          </cell>
          <cell r="M31">
            <v>1640874.9</v>
          </cell>
          <cell r="N31">
            <v>4985596.5999999987</v>
          </cell>
          <cell r="O31">
            <v>0</v>
          </cell>
          <cell r="Q31">
            <v>0</v>
          </cell>
          <cell r="R31">
            <v>0</v>
          </cell>
        </row>
      </sheetData>
      <sheetData sheetId="14">
        <row r="17">
          <cell r="H17">
            <v>0</v>
          </cell>
        </row>
        <row r="54">
          <cell r="H54">
            <v>0</v>
          </cell>
        </row>
      </sheetData>
      <sheetData sheetId="15">
        <row r="9">
          <cell r="P9">
            <v>2.9856089180000001</v>
          </cell>
        </row>
        <row r="12">
          <cell r="P12">
            <v>12.482788445999999</v>
          </cell>
        </row>
      </sheetData>
      <sheetData sheetId="16">
        <row r="8">
          <cell r="CM8">
            <v>845.69433590200015</v>
          </cell>
        </row>
        <row r="25">
          <cell r="CM25">
            <v>32774.730975755992</v>
          </cell>
        </row>
        <row r="27">
          <cell r="CM27">
            <v>31031.666737294992</v>
          </cell>
        </row>
        <row r="29">
          <cell r="CM29">
            <v>29253.393664738989</v>
          </cell>
        </row>
      </sheetData>
      <sheetData sheetId="17">
        <row r="14">
          <cell r="E14">
            <v>253.82251429999999</v>
          </cell>
        </row>
        <row r="17">
          <cell r="E17">
            <v>257.55285090000001</v>
          </cell>
        </row>
        <row r="30">
          <cell r="C30">
            <v>0.11793038</v>
          </cell>
        </row>
        <row r="32">
          <cell r="C32">
            <v>5.9234551000000003E-2</v>
          </cell>
        </row>
        <row r="33">
          <cell r="C33">
            <v>0</v>
          </cell>
        </row>
        <row r="37">
          <cell r="C37">
            <v>1.7311343879999999</v>
          </cell>
        </row>
        <row r="40">
          <cell r="D40">
            <v>1.8803448579999997</v>
          </cell>
        </row>
      </sheetData>
      <sheetData sheetId="18"/>
      <sheetData sheetId="19"/>
      <sheetData sheetId="20"/>
      <sheetData sheetId="21"/>
      <sheetData sheetId="22">
        <row r="21">
          <cell r="D21">
            <v>196.90100340000001</v>
          </cell>
        </row>
        <row r="22">
          <cell r="D22">
            <v>26115.397229399994</v>
          </cell>
          <cell r="F22">
            <v>25918.496225999996</v>
          </cell>
          <cell r="H22">
            <v>25450.446225999996</v>
          </cell>
        </row>
      </sheetData>
      <sheetData sheetId="23">
        <row r="4">
          <cell r="F4">
            <v>0.25168000000000001</v>
          </cell>
        </row>
        <row r="51">
          <cell r="C51">
            <v>491.57608076000002</v>
          </cell>
        </row>
      </sheetData>
      <sheetData sheetId="24">
        <row r="37">
          <cell r="E37">
            <v>-696143730.49080467</v>
          </cell>
        </row>
        <row r="41">
          <cell r="E41">
            <v>-6262821091.3308525</v>
          </cell>
        </row>
        <row r="85">
          <cell r="E85">
            <v>696783188.48580933</v>
          </cell>
        </row>
        <row r="88">
          <cell r="E88">
            <v>1392926918.976614</v>
          </cell>
        </row>
      </sheetData>
      <sheetData sheetId="25">
        <row r="64">
          <cell r="D64">
            <v>43.192830824000005</v>
          </cell>
        </row>
        <row r="77">
          <cell r="C77">
            <v>621.31065813657381</v>
          </cell>
          <cell r="D77">
            <v>4.971450996512</v>
          </cell>
        </row>
      </sheetData>
      <sheetData sheetId="26"/>
      <sheetData sheetId="27"/>
      <sheetData sheetId="28"/>
      <sheetData sheetId="29">
        <row r="6">
          <cell r="E6">
            <v>45.031899999999993</v>
          </cell>
        </row>
        <row r="7">
          <cell r="E7">
            <v>364.96133279999998</v>
          </cell>
        </row>
        <row r="11">
          <cell r="E11">
            <v>15.240600000000001</v>
          </cell>
        </row>
        <row r="12">
          <cell r="E12">
            <v>195.24729070000006</v>
          </cell>
        </row>
      </sheetData>
      <sheetData sheetId="30"/>
      <sheetData sheetId="31"/>
      <sheetData sheetId="32"/>
      <sheetData sheetId="33"/>
      <sheetData sheetId="34"/>
      <sheetData sheetId="35"/>
      <sheetData sheetId="36"/>
      <sheetData sheetId="37"/>
      <sheetData sheetId="38"/>
      <sheetData sheetId="39">
        <row r="3">
          <cell r="P3">
            <v>1082.0128803</v>
          </cell>
        </row>
        <row r="4">
          <cell r="P4">
            <v>1615.0095035046011</v>
          </cell>
        </row>
      </sheetData>
      <sheetData sheetId="40">
        <row r="17">
          <cell r="F17">
            <v>500</v>
          </cell>
        </row>
        <row r="19">
          <cell r="F19">
            <v>650</v>
          </cell>
        </row>
        <row r="22">
          <cell r="F22">
            <v>37.499997899999997</v>
          </cell>
        </row>
      </sheetData>
      <sheetData sheetId="41">
        <row r="14">
          <cell r="E14">
            <v>172.4</v>
          </cell>
        </row>
        <row r="23">
          <cell r="E23">
            <v>41.243363357999996</v>
          </cell>
        </row>
        <row r="24">
          <cell r="E24">
            <v>15.5035446</v>
          </cell>
        </row>
        <row r="29">
          <cell r="E29">
            <v>2926.169291762601</v>
          </cell>
        </row>
        <row r="34">
          <cell r="E34">
            <v>4.2996131999999996</v>
          </cell>
        </row>
      </sheetData>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e"/>
      <sheetName val="tup"/>
      <sheetName val="mum"/>
      <sheetName val="ben"/>
      <sheetName val="total"/>
      <sheetName val="tbc"/>
    </sheetNames>
    <sheetDataSet>
      <sheetData sheetId="0">
        <row r="5">
          <cell r="C5" t="str">
            <v>1.35/1 KW</v>
          </cell>
          <cell r="D5">
            <v>4</v>
          </cell>
          <cell r="E5">
            <v>181.44</v>
          </cell>
          <cell r="F5">
            <v>12700.8</v>
          </cell>
          <cell r="G5">
            <v>0</v>
          </cell>
          <cell r="H5">
            <v>12700.8</v>
          </cell>
          <cell r="I5">
            <v>0</v>
          </cell>
          <cell r="J5">
            <v>0</v>
          </cell>
          <cell r="L5">
            <v>0</v>
          </cell>
          <cell r="M5">
            <v>12700.8</v>
          </cell>
        </row>
        <row r="6">
          <cell r="C6" t="str">
            <v>1.5/1 KW</v>
          </cell>
          <cell r="D6">
            <v>217</v>
          </cell>
          <cell r="E6">
            <v>9827.4599999999991</v>
          </cell>
          <cell r="F6">
            <v>703971</v>
          </cell>
          <cell r="G6">
            <v>81.97</v>
          </cell>
          <cell r="H6">
            <v>704052.97</v>
          </cell>
          <cell r="I6">
            <v>0</v>
          </cell>
          <cell r="J6">
            <v>13.04</v>
          </cell>
          <cell r="L6">
            <v>0</v>
          </cell>
          <cell r="M6">
            <v>704066.01</v>
          </cell>
        </row>
        <row r="7">
          <cell r="C7" t="str">
            <v>1/1 KW</v>
          </cell>
          <cell r="D7">
            <v>97</v>
          </cell>
          <cell r="E7">
            <v>4399.92</v>
          </cell>
          <cell r="F7">
            <v>324392.49</v>
          </cell>
          <cell r="G7">
            <v>214.96</v>
          </cell>
          <cell r="H7">
            <v>324607.45</v>
          </cell>
          <cell r="I7">
            <v>0</v>
          </cell>
          <cell r="J7">
            <v>34.19</v>
          </cell>
          <cell r="L7">
            <v>0</v>
          </cell>
          <cell r="M7">
            <v>324641.64</v>
          </cell>
        </row>
        <row r="8">
          <cell r="C8" t="str">
            <v>10/1 CH</v>
          </cell>
          <cell r="D8">
            <v>2032</v>
          </cell>
          <cell r="E8">
            <v>92160.16</v>
          </cell>
          <cell r="F8">
            <v>7960219.1200000001</v>
          </cell>
          <cell r="G8">
            <v>10515.6</v>
          </cell>
          <cell r="H8">
            <v>7970734.7199999997</v>
          </cell>
          <cell r="I8">
            <v>1560</v>
          </cell>
          <cell r="J8">
            <v>1693.44</v>
          </cell>
          <cell r="L8">
            <v>0</v>
          </cell>
          <cell r="M8">
            <v>7973988.1600000001</v>
          </cell>
        </row>
        <row r="9">
          <cell r="C9" t="str">
            <v>10/1 KH</v>
          </cell>
          <cell r="D9">
            <v>422</v>
          </cell>
          <cell r="E9">
            <v>21423.1</v>
          </cell>
          <cell r="F9">
            <v>1467597.78</v>
          </cell>
          <cell r="G9">
            <v>82875.86</v>
          </cell>
          <cell r="H9">
            <v>1550473.6400000001</v>
          </cell>
          <cell r="I9">
            <v>0</v>
          </cell>
          <cell r="J9">
            <v>13181.59</v>
          </cell>
          <cell r="L9">
            <v>0</v>
          </cell>
          <cell r="M9">
            <v>1563655.2300000002</v>
          </cell>
        </row>
        <row r="10">
          <cell r="C10" t="str">
            <v>10/1 KW</v>
          </cell>
          <cell r="D10">
            <v>852</v>
          </cell>
          <cell r="E10">
            <v>38613.040000000001</v>
          </cell>
          <cell r="F10">
            <v>2561611.61</v>
          </cell>
          <cell r="G10">
            <v>235668.21000000002</v>
          </cell>
          <cell r="H10">
            <v>2797279.82</v>
          </cell>
          <cell r="I10">
            <v>12697.4</v>
          </cell>
          <cell r="J10">
            <v>37653.689999999995</v>
          </cell>
          <cell r="L10">
            <v>1.77</v>
          </cell>
          <cell r="M10">
            <v>2847632.6799999997</v>
          </cell>
        </row>
        <row r="11">
          <cell r="C11" t="str">
            <v>12/1 CH</v>
          </cell>
          <cell r="D11">
            <v>33</v>
          </cell>
          <cell r="E11">
            <v>1494.38</v>
          </cell>
          <cell r="F11">
            <v>132813.78</v>
          </cell>
          <cell r="G11">
            <v>12218.86</v>
          </cell>
          <cell r="H11">
            <v>145032.64000000001</v>
          </cell>
          <cell r="I11">
            <v>2500</v>
          </cell>
          <cell r="J11">
            <v>1976.94</v>
          </cell>
          <cell r="L11">
            <v>0</v>
          </cell>
          <cell r="M11">
            <v>149509.58000000002</v>
          </cell>
        </row>
        <row r="12">
          <cell r="C12" t="str">
            <v>12/1 KW</v>
          </cell>
          <cell r="D12">
            <v>2077</v>
          </cell>
          <cell r="E12">
            <v>103313.94</v>
          </cell>
          <cell r="F12">
            <v>7254340.6099999994</v>
          </cell>
          <cell r="G12">
            <v>478037.65</v>
          </cell>
          <cell r="H12">
            <v>7732378.2599999998</v>
          </cell>
          <cell r="I12">
            <v>37627.17</v>
          </cell>
          <cell r="J12">
            <v>79838.759999999995</v>
          </cell>
          <cell r="L12">
            <v>-0.86</v>
          </cell>
          <cell r="M12">
            <v>7849843.3299999991</v>
          </cell>
        </row>
        <row r="13">
          <cell r="C13" t="str">
            <v>13.5/1 KW</v>
          </cell>
          <cell r="D13">
            <v>783</v>
          </cell>
          <cell r="E13">
            <v>35506.22</v>
          </cell>
          <cell r="F13">
            <v>2763624.66</v>
          </cell>
          <cell r="G13">
            <v>254253.48</v>
          </cell>
          <cell r="H13">
            <v>3017878.14</v>
          </cell>
          <cell r="I13">
            <v>0</v>
          </cell>
          <cell r="J13">
            <v>40439.589999999997</v>
          </cell>
          <cell r="L13">
            <v>0</v>
          </cell>
          <cell r="M13">
            <v>3058317.73</v>
          </cell>
        </row>
        <row r="14">
          <cell r="C14" t="str">
            <v>14/1 KH</v>
          </cell>
          <cell r="D14">
            <v>593</v>
          </cell>
          <cell r="E14">
            <v>34055.839999999997</v>
          </cell>
          <cell r="F14">
            <v>2506328.44</v>
          </cell>
          <cell r="G14">
            <v>112967.01</v>
          </cell>
          <cell r="H14">
            <v>2619295.4499999997</v>
          </cell>
          <cell r="I14">
            <v>0</v>
          </cell>
          <cell r="J14">
            <v>25990.92</v>
          </cell>
          <cell r="L14">
            <v>0</v>
          </cell>
          <cell r="M14">
            <v>2645286.3699999996</v>
          </cell>
        </row>
        <row r="15">
          <cell r="C15" t="str">
            <v>14/1 KW</v>
          </cell>
          <cell r="D15">
            <v>1796</v>
          </cell>
          <cell r="E15">
            <v>86982.74</v>
          </cell>
          <cell r="F15">
            <v>6047004.8300000001</v>
          </cell>
          <cell r="G15">
            <v>516462.83</v>
          </cell>
          <cell r="H15">
            <v>6563467.6600000001</v>
          </cell>
          <cell r="I15">
            <v>10950</v>
          </cell>
          <cell r="J15">
            <v>81962.009999999995</v>
          </cell>
          <cell r="L15">
            <v>1.19</v>
          </cell>
          <cell r="M15">
            <v>6656380.8600000003</v>
          </cell>
        </row>
        <row r="16">
          <cell r="C16" t="str">
            <v>16/1 KW</v>
          </cell>
          <cell r="D16">
            <v>1119</v>
          </cell>
          <cell r="E16">
            <v>52875.16</v>
          </cell>
          <cell r="F16">
            <v>3873213.6</v>
          </cell>
          <cell r="G16">
            <v>299581.2</v>
          </cell>
          <cell r="H16">
            <v>4172794.8000000003</v>
          </cell>
          <cell r="I16">
            <v>13123.93</v>
          </cell>
          <cell r="J16">
            <v>37824.26</v>
          </cell>
          <cell r="L16">
            <v>5.92</v>
          </cell>
          <cell r="M16">
            <v>4223748.91</v>
          </cell>
        </row>
        <row r="17">
          <cell r="C17" t="str">
            <v>16/1 SLUB</v>
          </cell>
          <cell r="D17">
            <v>28</v>
          </cell>
          <cell r="E17">
            <v>1362</v>
          </cell>
          <cell r="F17">
            <v>128715</v>
          </cell>
          <cell r="G17">
            <v>10862.9</v>
          </cell>
          <cell r="H17">
            <v>139577.9</v>
          </cell>
          <cell r="I17">
            <v>1810</v>
          </cell>
          <cell r="J17">
            <v>1752.02</v>
          </cell>
          <cell r="L17">
            <v>0</v>
          </cell>
          <cell r="M17">
            <v>143139.91999999998</v>
          </cell>
        </row>
        <row r="18">
          <cell r="C18" t="str">
            <v>19.5/1 KH</v>
          </cell>
          <cell r="D18">
            <v>375</v>
          </cell>
          <cell r="E18">
            <v>18084.939999999999</v>
          </cell>
          <cell r="F18">
            <v>1427937.75</v>
          </cell>
          <cell r="G18">
            <v>131370.28</v>
          </cell>
          <cell r="H18">
            <v>1559308.03</v>
          </cell>
          <cell r="I18">
            <v>20756</v>
          </cell>
          <cell r="J18">
            <v>21172.83</v>
          </cell>
          <cell r="L18">
            <v>0</v>
          </cell>
          <cell r="M18">
            <v>1601236.86</v>
          </cell>
        </row>
        <row r="19">
          <cell r="C19" t="str">
            <v>2/1 KW</v>
          </cell>
          <cell r="D19">
            <v>159</v>
          </cell>
          <cell r="E19">
            <v>7212.24</v>
          </cell>
          <cell r="F19">
            <v>504856.8</v>
          </cell>
          <cell r="H19">
            <v>504856.8</v>
          </cell>
          <cell r="I19">
            <v>0</v>
          </cell>
          <cell r="J19">
            <v>0</v>
          </cell>
          <cell r="L19">
            <v>0</v>
          </cell>
          <cell r="M19">
            <v>504856.8</v>
          </cell>
        </row>
        <row r="20">
          <cell r="C20" t="str">
            <v>20/1 CH</v>
          </cell>
          <cell r="D20">
            <v>5280</v>
          </cell>
          <cell r="E20">
            <v>241502.25</v>
          </cell>
          <cell r="F20">
            <v>22487683.229999997</v>
          </cell>
          <cell r="G20">
            <v>1617401.5899999999</v>
          </cell>
          <cell r="H20">
            <v>24105084.819999997</v>
          </cell>
          <cell r="I20">
            <v>225234.22</v>
          </cell>
          <cell r="J20">
            <v>269886.03999999998</v>
          </cell>
          <cell r="L20">
            <v>-143.44</v>
          </cell>
          <cell r="M20">
            <v>24600061.639999993</v>
          </cell>
        </row>
        <row r="21">
          <cell r="C21" t="str">
            <v>20/1 CW</v>
          </cell>
          <cell r="D21">
            <v>158</v>
          </cell>
          <cell r="E21">
            <v>7166.88</v>
          </cell>
          <cell r="F21">
            <v>677359.52</v>
          </cell>
          <cell r="G21">
            <v>57726.63</v>
          </cell>
          <cell r="H21">
            <v>735086.15</v>
          </cell>
          <cell r="I21">
            <v>12250</v>
          </cell>
          <cell r="J21">
            <v>9345.7000000000007</v>
          </cell>
          <cell r="L21">
            <v>0</v>
          </cell>
          <cell r="M21">
            <v>756681.85</v>
          </cell>
        </row>
        <row r="22">
          <cell r="C22" t="str">
            <v>20/1 KH</v>
          </cell>
          <cell r="D22">
            <v>1102</v>
          </cell>
          <cell r="E22">
            <v>49239.519999999997</v>
          </cell>
          <cell r="F22">
            <v>3845796.05</v>
          </cell>
          <cell r="G22">
            <v>353813.24</v>
          </cell>
          <cell r="H22">
            <v>4199609.29</v>
          </cell>
          <cell r="I22">
            <v>49630.5</v>
          </cell>
          <cell r="J22">
            <v>56939.8</v>
          </cell>
          <cell r="L22">
            <v>0</v>
          </cell>
          <cell r="M22">
            <v>4306179.59</v>
          </cell>
        </row>
        <row r="23">
          <cell r="C23" t="str">
            <v>20/1 KW</v>
          </cell>
          <cell r="D23">
            <v>2567</v>
          </cell>
          <cell r="E23">
            <v>117489.24</v>
          </cell>
          <cell r="F23">
            <v>8873181.4399999995</v>
          </cell>
          <cell r="G23">
            <v>790626.35</v>
          </cell>
          <cell r="H23">
            <v>9663807.7899999991</v>
          </cell>
          <cell r="I23">
            <v>23152</v>
          </cell>
          <cell r="J23">
            <v>126061.05</v>
          </cell>
          <cell r="L23">
            <v>-2.41</v>
          </cell>
          <cell r="M23">
            <v>9813018.4299999997</v>
          </cell>
        </row>
        <row r="24">
          <cell r="C24" t="str">
            <v>20/1 Slub Yarn</v>
          </cell>
          <cell r="D24">
            <v>3</v>
          </cell>
          <cell r="E24">
            <v>112</v>
          </cell>
          <cell r="F24">
            <v>11312</v>
          </cell>
          <cell r="H24">
            <v>11312</v>
          </cell>
          <cell r="M24">
            <v>11312</v>
          </cell>
        </row>
        <row r="25">
          <cell r="C25" t="str">
            <v>24/1 CH</v>
          </cell>
          <cell r="D25">
            <v>14817</v>
          </cell>
          <cell r="E25">
            <v>671423.41999999993</v>
          </cell>
          <cell r="F25">
            <v>66275348.729999997</v>
          </cell>
          <cell r="G25">
            <v>4959881.88</v>
          </cell>
          <cell r="H25">
            <v>71235230.609999999</v>
          </cell>
          <cell r="I25">
            <v>676635.55</v>
          </cell>
          <cell r="J25">
            <v>807957.61</v>
          </cell>
          <cell r="L25">
            <v>-95.39</v>
          </cell>
          <cell r="M25">
            <v>72719728.379999995</v>
          </cell>
        </row>
        <row r="26">
          <cell r="C26" t="str">
            <v>24/1 CW</v>
          </cell>
          <cell r="D26">
            <v>36</v>
          </cell>
          <cell r="E26">
            <v>1627.29</v>
          </cell>
          <cell r="F26">
            <v>132347.5</v>
          </cell>
          <cell r="G26">
            <v>12175.97</v>
          </cell>
          <cell r="H26">
            <v>144523.47</v>
          </cell>
          <cell r="I26">
            <v>0</v>
          </cell>
          <cell r="J26">
            <v>1936.61</v>
          </cell>
          <cell r="L26">
            <v>-0.37</v>
          </cell>
          <cell r="M26">
            <v>146459.71</v>
          </cell>
        </row>
        <row r="27">
          <cell r="C27" t="str">
            <v>24/1 KH</v>
          </cell>
          <cell r="D27">
            <v>801</v>
          </cell>
          <cell r="E27">
            <v>36286.32</v>
          </cell>
          <cell r="F27">
            <v>3027217.97</v>
          </cell>
          <cell r="G27">
            <v>159319.74</v>
          </cell>
          <cell r="H27">
            <v>3186537.71</v>
          </cell>
          <cell r="I27">
            <v>21466.17</v>
          </cell>
          <cell r="J27">
            <v>25627.81</v>
          </cell>
          <cell r="L27">
            <v>0</v>
          </cell>
          <cell r="M27">
            <v>3233631.69</v>
          </cell>
        </row>
        <row r="28">
          <cell r="C28" t="str">
            <v>24/1 KW</v>
          </cell>
          <cell r="D28">
            <v>1014</v>
          </cell>
          <cell r="E28">
            <v>45905.24</v>
          </cell>
          <cell r="F28">
            <v>3849600.02</v>
          </cell>
          <cell r="G28">
            <v>256521.88</v>
          </cell>
          <cell r="H28">
            <v>4106121.9</v>
          </cell>
          <cell r="I28">
            <v>11410</v>
          </cell>
          <cell r="J28">
            <v>40800.36</v>
          </cell>
          <cell r="L28">
            <v>0</v>
          </cell>
          <cell r="M28">
            <v>4158332.26</v>
          </cell>
        </row>
        <row r="29">
          <cell r="C29" t="str">
            <v>26/1 KH</v>
          </cell>
          <cell r="D29">
            <v>510</v>
          </cell>
          <cell r="E29">
            <v>23133.599999999999</v>
          </cell>
          <cell r="F29">
            <v>1920088.8</v>
          </cell>
          <cell r="G29">
            <v>0</v>
          </cell>
          <cell r="H29">
            <v>1920088.8</v>
          </cell>
          <cell r="I29">
            <v>75000</v>
          </cell>
          <cell r="J29">
            <v>0</v>
          </cell>
          <cell r="L29">
            <v>0</v>
          </cell>
          <cell r="M29">
            <v>1995088.8</v>
          </cell>
        </row>
        <row r="30">
          <cell r="C30" t="str">
            <v>30/1 CH</v>
          </cell>
          <cell r="D30">
            <v>2385</v>
          </cell>
          <cell r="E30">
            <v>108186.22</v>
          </cell>
          <cell r="F30">
            <v>10439847.26</v>
          </cell>
          <cell r="G30">
            <v>962923.08999999985</v>
          </cell>
          <cell r="H30">
            <v>11402770.35</v>
          </cell>
          <cell r="I30">
            <v>181030.6</v>
          </cell>
          <cell r="J30">
            <v>151136.46000000002</v>
          </cell>
          <cell r="L30">
            <v>0</v>
          </cell>
          <cell r="M30">
            <v>11734937.41</v>
          </cell>
        </row>
        <row r="31">
          <cell r="C31" t="str">
            <v>30/1 KH</v>
          </cell>
          <cell r="D31">
            <v>1402</v>
          </cell>
          <cell r="E31">
            <v>63591.68</v>
          </cell>
          <cell r="F31">
            <v>6032839.5</v>
          </cell>
          <cell r="G31">
            <v>580050.71</v>
          </cell>
          <cell r="H31">
            <v>6612890.21</v>
          </cell>
          <cell r="I31">
            <v>2766.96</v>
          </cell>
          <cell r="J31">
            <v>61761.32</v>
          </cell>
          <cell r="L31">
            <v>0</v>
          </cell>
          <cell r="M31">
            <v>6677418.4900000002</v>
          </cell>
        </row>
        <row r="32">
          <cell r="C32" t="str">
            <v>30/1 KW</v>
          </cell>
          <cell r="D32">
            <v>19</v>
          </cell>
          <cell r="E32">
            <v>911.3</v>
          </cell>
          <cell r="F32">
            <v>57639.73</v>
          </cell>
          <cell r="G32">
            <v>5302.86</v>
          </cell>
          <cell r="H32">
            <v>62942.590000000004</v>
          </cell>
          <cell r="I32">
            <v>0</v>
          </cell>
          <cell r="J32">
            <v>843.43</v>
          </cell>
          <cell r="L32">
            <v>0</v>
          </cell>
          <cell r="M32">
            <v>63786.020000000004</v>
          </cell>
        </row>
        <row r="33">
          <cell r="C33" t="str">
            <v>32/1 CH</v>
          </cell>
          <cell r="D33">
            <v>25</v>
          </cell>
          <cell r="E33">
            <v>1131.17</v>
          </cell>
          <cell r="F33">
            <v>90134.85</v>
          </cell>
          <cell r="G33">
            <v>8292.41</v>
          </cell>
          <cell r="H33">
            <v>98427.260000000009</v>
          </cell>
          <cell r="I33">
            <v>0</v>
          </cell>
          <cell r="J33">
            <v>1318.93</v>
          </cell>
          <cell r="L33">
            <v>1.44</v>
          </cell>
          <cell r="M33">
            <v>99747.63</v>
          </cell>
        </row>
        <row r="34">
          <cell r="C34" t="str">
            <v>32/1 KH</v>
          </cell>
          <cell r="D34">
            <v>771</v>
          </cell>
          <cell r="E34">
            <v>34881.42</v>
          </cell>
          <cell r="F34">
            <v>3179340.47</v>
          </cell>
          <cell r="G34">
            <v>292499.34000000003</v>
          </cell>
          <cell r="H34">
            <v>3471839.81</v>
          </cell>
          <cell r="I34">
            <v>21461</v>
          </cell>
          <cell r="J34">
            <v>46810.239999999998</v>
          </cell>
          <cell r="L34">
            <v>0</v>
          </cell>
          <cell r="M34">
            <v>3540111.0500000003</v>
          </cell>
        </row>
        <row r="35">
          <cell r="C35" t="str">
            <v>34/1 CH</v>
          </cell>
          <cell r="D35">
            <v>110.00000000000001</v>
          </cell>
          <cell r="E35">
            <v>4989.6000000000004</v>
          </cell>
          <cell r="F35">
            <v>502652.3</v>
          </cell>
          <cell r="H35">
            <v>502652.3</v>
          </cell>
          <cell r="I35">
            <v>4500</v>
          </cell>
          <cell r="J35">
            <v>6795.84</v>
          </cell>
          <cell r="L35">
            <v>0</v>
          </cell>
          <cell r="M35">
            <v>513948.14</v>
          </cell>
        </row>
        <row r="36">
          <cell r="C36" t="str">
            <v>34/1 KH</v>
          </cell>
          <cell r="D36">
            <v>730</v>
          </cell>
          <cell r="E36">
            <v>33112.800000000003</v>
          </cell>
          <cell r="F36">
            <v>3253480.47</v>
          </cell>
          <cell r="G36">
            <v>299320.23</v>
          </cell>
          <cell r="H36">
            <v>3552800.7</v>
          </cell>
          <cell r="I36">
            <v>41273</v>
          </cell>
          <cell r="J36">
            <v>48160.59</v>
          </cell>
          <cell r="L36">
            <v>0</v>
          </cell>
          <cell r="M36">
            <v>3642234.29</v>
          </cell>
        </row>
        <row r="37">
          <cell r="C37" t="str">
            <v>40/1 CH</v>
          </cell>
          <cell r="D37">
            <v>81</v>
          </cell>
          <cell r="E37">
            <v>3700</v>
          </cell>
          <cell r="F37">
            <v>541290.55000000005</v>
          </cell>
          <cell r="G37">
            <v>57136.06</v>
          </cell>
          <cell r="H37">
            <v>598426.6100000001</v>
          </cell>
          <cell r="I37">
            <v>0</v>
          </cell>
          <cell r="J37">
            <v>138.91999999999999</v>
          </cell>
          <cell r="L37">
            <v>0</v>
          </cell>
          <cell r="M37">
            <v>598565.53000000014</v>
          </cell>
        </row>
        <row r="38">
          <cell r="C38" t="str">
            <v>8/1 KW</v>
          </cell>
          <cell r="D38">
            <v>406</v>
          </cell>
          <cell r="E38">
            <v>22385.22</v>
          </cell>
          <cell r="F38">
            <v>1543624.69</v>
          </cell>
          <cell r="G38">
            <v>142013.47</v>
          </cell>
          <cell r="H38">
            <v>1685638.16</v>
          </cell>
          <cell r="I38">
            <v>18797.5</v>
          </cell>
          <cell r="J38">
            <v>22839.45</v>
          </cell>
          <cell r="L38">
            <v>0</v>
          </cell>
          <cell r="M38">
            <v>1727275.1099999999</v>
          </cell>
        </row>
        <row r="39">
          <cell r="C39" t="str">
            <v>8/1 Slub Yarn</v>
          </cell>
          <cell r="D39">
            <v>20</v>
          </cell>
          <cell r="E39">
            <v>1000</v>
          </cell>
          <cell r="F39">
            <v>79670</v>
          </cell>
          <cell r="G39">
            <v>7329.64</v>
          </cell>
          <cell r="H39">
            <v>86999.64</v>
          </cell>
          <cell r="I39">
            <v>5000</v>
          </cell>
          <cell r="M39">
            <v>91999.64</v>
          </cell>
        </row>
        <row r="40">
          <cell r="C40" t="str">
            <v>9/1 KW</v>
          </cell>
          <cell r="D40">
            <v>175</v>
          </cell>
          <cell r="E40">
            <v>7938</v>
          </cell>
          <cell r="F40">
            <v>505729.98</v>
          </cell>
          <cell r="G40">
            <v>46527.16</v>
          </cell>
          <cell r="H40">
            <v>552257.14</v>
          </cell>
          <cell r="I40">
            <v>0</v>
          </cell>
          <cell r="J40">
            <v>7400.25</v>
          </cell>
          <cell r="L40">
            <v>0</v>
          </cell>
          <cell r="M40">
            <v>559657.39</v>
          </cell>
        </row>
        <row r="41">
          <cell r="C41" t="str">
            <v>Mixcount</v>
          </cell>
        </row>
        <row r="43">
          <cell r="D43">
            <v>42999</v>
          </cell>
          <cell r="E43">
            <v>1983205.7500000002</v>
          </cell>
          <cell r="F43">
            <v>174995513.32999998</v>
          </cell>
          <cell r="G43">
            <v>12753973.060000002</v>
          </cell>
          <cell r="H43">
            <v>187749486.39000002</v>
          </cell>
          <cell r="I43">
            <v>1470632</v>
          </cell>
          <cell r="J43">
            <v>2029293.6900000002</v>
          </cell>
          <cell r="L43">
            <v>-232.14999999999998</v>
          </cell>
          <cell r="M43">
            <v>191249179.92999998</v>
          </cell>
        </row>
        <row r="45">
          <cell r="H45">
            <v>187217055.37</v>
          </cell>
        </row>
        <row r="46">
          <cell r="H46">
            <v>532431.02000001073</v>
          </cell>
        </row>
        <row r="47">
          <cell r="D47">
            <v>43181</v>
          </cell>
          <cell r="E47">
            <v>1989615.23</v>
          </cell>
          <cell r="F47">
            <v>174818553.59</v>
          </cell>
          <cell r="G47">
            <v>12752046.542480005</v>
          </cell>
          <cell r="H47">
            <v>562531705.39999998</v>
          </cell>
          <cell r="I47">
            <v>1467590</v>
          </cell>
          <cell r="J47">
            <v>2030723.68</v>
          </cell>
          <cell r="L47">
            <v>-232.15</v>
          </cell>
          <cell r="M47">
            <v>191068681.66247997</v>
          </cell>
        </row>
        <row r="50">
          <cell r="C50" t="str">
            <v>6/2 Slub Yarn</v>
          </cell>
          <cell r="D50">
            <v>1</v>
          </cell>
          <cell r="E50">
            <v>4.53</v>
          </cell>
          <cell r="F50">
            <v>344.33</v>
          </cell>
          <cell r="G50">
            <v>31.68</v>
          </cell>
          <cell r="H50">
            <v>376.01</v>
          </cell>
          <cell r="M50">
            <v>376.01</v>
          </cell>
        </row>
        <row r="51">
          <cell r="C51" t="str">
            <v>10/2 CW</v>
          </cell>
          <cell r="D51">
            <v>18</v>
          </cell>
          <cell r="E51">
            <v>1089</v>
          </cell>
          <cell r="F51">
            <v>85290.48</v>
          </cell>
          <cell r="G51">
            <v>7846.73</v>
          </cell>
          <cell r="H51">
            <v>93137.209999999992</v>
          </cell>
          <cell r="I51">
            <v>2500</v>
          </cell>
          <cell r="J51">
            <v>1281.54</v>
          </cell>
          <cell r="L51">
            <v>0</v>
          </cell>
          <cell r="M51">
            <v>96918.749999999985</v>
          </cell>
        </row>
        <row r="52">
          <cell r="C52" t="str">
            <v>10/2 KW</v>
          </cell>
          <cell r="D52">
            <v>88</v>
          </cell>
          <cell r="E52">
            <v>5253.46</v>
          </cell>
          <cell r="F52">
            <v>411064.31</v>
          </cell>
          <cell r="G52">
            <v>37817.909999999996</v>
          </cell>
          <cell r="H52">
            <v>448882.22</v>
          </cell>
          <cell r="I52">
            <v>4469.6000000000004</v>
          </cell>
          <cell r="J52">
            <v>6074.91</v>
          </cell>
          <cell r="L52">
            <v>0</v>
          </cell>
          <cell r="M52">
            <v>458565.95</v>
          </cell>
        </row>
        <row r="53">
          <cell r="C53" t="str">
            <v>12/2 CH</v>
          </cell>
          <cell r="D53">
            <v>1</v>
          </cell>
          <cell r="E53">
            <v>38.5</v>
          </cell>
          <cell r="F53">
            <v>2435.13</v>
          </cell>
          <cell r="G53">
            <v>224.03</v>
          </cell>
          <cell r="H53">
            <v>2659.1600000000003</v>
          </cell>
          <cell r="I53">
            <v>0</v>
          </cell>
          <cell r="J53">
            <v>35.630000000000003</v>
          </cell>
          <cell r="L53">
            <v>0</v>
          </cell>
          <cell r="M53">
            <v>2694.79</v>
          </cell>
        </row>
        <row r="54">
          <cell r="C54" t="str">
            <v>12/2 KW</v>
          </cell>
          <cell r="D54">
            <v>1243</v>
          </cell>
          <cell r="E54">
            <v>68818.679999999993</v>
          </cell>
          <cell r="F54">
            <v>5333198.99</v>
          </cell>
          <cell r="G54">
            <v>474249.06</v>
          </cell>
          <cell r="H54">
            <v>5807448.0499999998</v>
          </cell>
          <cell r="I54">
            <v>50953.65</v>
          </cell>
          <cell r="J54">
            <v>78502.559999999998</v>
          </cell>
          <cell r="L54">
            <v>0</v>
          </cell>
          <cell r="M54">
            <v>5936904.2599999998</v>
          </cell>
        </row>
        <row r="55">
          <cell r="C55" t="str">
            <v>12/3 KW</v>
          </cell>
          <cell r="D55">
            <v>433</v>
          </cell>
          <cell r="E55">
            <v>25619.360000000001</v>
          </cell>
          <cell r="F55">
            <v>2058124.05</v>
          </cell>
          <cell r="G55">
            <v>189347.4</v>
          </cell>
          <cell r="H55">
            <v>2247471.4500000002</v>
          </cell>
          <cell r="I55">
            <v>18431</v>
          </cell>
          <cell r="J55">
            <v>30363.08</v>
          </cell>
          <cell r="L55">
            <v>0</v>
          </cell>
          <cell r="M55">
            <v>2296265.5299999998</v>
          </cell>
        </row>
        <row r="56">
          <cell r="C56" t="str">
            <v>14/2 KW</v>
          </cell>
          <cell r="D56">
            <v>2762</v>
          </cell>
          <cell r="E56">
            <v>128347.04</v>
          </cell>
          <cell r="F56">
            <v>9249362.4600000009</v>
          </cell>
          <cell r="G56">
            <v>850941.39</v>
          </cell>
          <cell r="H56">
            <v>10100303.850000001</v>
          </cell>
          <cell r="I56">
            <v>17667.8</v>
          </cell>
          <cell r="J56">
            <v>135580.88</v>
          </cell>
          <cell r="L56">
            <v>1.22</v>
          </cell>
          <cell r="M56">
            <v>10253553.750000004</v>
          </cell>
        </row>
        <row r="57">
          <cell r="C57" t="str">
            <v>16/2 KW</v>
          </cell>
          <cell r="D57">
            <v>505</v>
          </cell>
          <cell r="E57">
            <v>23624.16</v>
          </cell>
          <cell r="F57">
            <v>1735475.8</v>
          </cell>
          <cell r="G57">
            <v>159663.79</v>
          </cell>
          <cell r="H57">
            <v>1895139.59</v>
          </cell>
          <cell r="I57">
            <v>3679</v>
          </cell>
          <cell r="J57">
            <v>25444.18</v>
          </cell>
          <cell r="L57">
            <v>-1.17</v>
          </cell>
          <cell r="M57">
            <v>1924261.6</v>
          </cell>
        </row>
        <row r="58">
          <cell r="C58" t="str">
            <v>20/2 CH</v>
          </cell>
          <cell r="D58">
            <v>171</v>
          </cell>
          <cell r="E58">
            <v>7772.92</v>
          </cell>
          <cell r="F58">
            <v>871275.87000000011</v>
          </cell>
          <cell r="G58">
            <v>0</v>
          </cell>
          <cell r="H58">
            <v>871275.87000000011</v>
          </cell>
          <cell r="I58">
            <v>0</v>
          </cell>
          <cell r="J58">
            <v>0</v>
          </cell>
          <cell r="L58">
            <v>3.73</v>
          </cell>
          <cell r="M58">
            <v>852554</v>
          </cell>
        </row>
        <row r="59">
          <cell r="C59" t="str">
            <v>20/2 KH</v>
          </cell>
          <cell r="D59">
            <v>104</v>
          </cell>
          <cell r="E59">
            <v>4673.12</v>
          </cell>
          <cell r="F59">
            <v>445544.29</v>
          </cell>
          <cell r="G59">
            <v>38906.82</v>
          </cell>
          <cell r="H59">
            <v>484451.11</v>
          </cell>
          <cell r="I59">
            <v>8125</v>
          </cell>
          <cell r="J59">
            <v>6297.08</v>
          </cell>
          <cell r="L59">
            <v>0</v>
          </cell>
          <cell r="M59">
            <v>476229.19</v>
          </cell>
        </row>
        <row r="60">
          <cell r="C60" t="str">
            <v>20/2 KW</v>
          </cell>
          <cell r="D60">
            <v>820</v>
          </cell>
          <cell r="E60">
            <v>37035.440000000002</v>
          </cell>
          <cell r="F60">
            <v>3420550.4699999997</v>
          </cell>
          <cell r="G60">
            <v>133443.69</v>
          </cell>
          <cell r="H60">
            <v>3553994.1599999997</v>
          </cell>
          <cell r="I60">
            <v>24573</v>
          </cell>
          <cell r="J60">
            <v>21553.8</v>
          </cell>
          <cell r="L60">
            <v>45.16</v>
          </cell>
          <cell r="M60">
            <v>3566461.27</v>
          </cell>
        </row>
        <row r="61">
          <cell r="C61" t="str">
            <v>20/2 CW</v>
          </cell>
          <cell r="D61">
            <v>53</v>
          </cell>
          <cell r="E61">
            <v>2389.86</v>
          </cell>
          <cell r="F61">
            <v>218753.21</v>
          </cell>
          <cell r="G61">
            <v>20125.3</v>
          </cell>
          <cell r="H61">
            <v>238878.50999999998</v>
          </cell>
          <cell r="I61">
            <v>1950</v>
          </cell>
          <cell r="J61">
            <v>3227.1</v>
          </cell>
          <cell r="L61">
            <v>0</v>
          </cell>
          <cell r="M61">
            <v>244055.61</v>
          </cell>
        </row>
        <row r="62">
          <cell r="C62" t="str">
            <v>23/2 KW</v>
          </cell>
          <cell r="D62">
            <v>385</v>
          </cell>
          <cell r="E62">
            <v>17463.599999999999</v>
          </cell>
          <cell r="F62">
            <v>1733989.43</v>
          </cell>
          <cell r="G62">
            <v>509.12</v>
          </cell>
          <cell r="H62">
            <v>1734498.55</v>
          </cell>
          <cell r="I62">
            <v>0</v>
          </cell>
          <cell r="J62">
            <v>80.98</v>
          </cell>
          <cell r="L62">
            <v>0.49</v>
          </cell>
          <cell r="M62">
            <v>1718743.02</v>
          </cell>
        </row>
        <row r="63">
          <cell r="C63" t="str">
            <v>24/2 KW</v>
          </cell>
          <cell r="D63">
            <v>5921</v>
          </cell>
          <cell r="E63">
            <v>268317.31</v>
          </cell>
          <cell r="F63">
            <v>25826474.289999999</v>
          </cell>
          <cell r="G63">
            <v>2082047.71</v>
          </cell>
          <cell r="H63">
            <v>27908522</v>
          </cell>
          <cell r="I63">
            <v>24865.95</v>
          </cell>
          <cell r="J63">
            <v>331487.39</v>
          </cell>
          <cell r="L63">
            <v>0</v>
          </cell>
          <cell r="M63">
            <v>28264875.340000004</v>
          </cell>
        </row>
      </sheetData>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Q1 SEBI"/>
      <sheetName val="BS - Ind AS"/>
      <sheetName val="BS Notes"/>
      <sheetName val="PL - Ind AS"/>
      <sheetName val="PL Notes"/>
      <sheetName val="Journal Entries"/>
      <sheetName val="TB"/>
      <sheetName val="Old tb"/>
      <sheetName val="int Accrued but not due"/>
      <sheetName val="Reserve Reco"/>
      <sheetName val="Sheet2"/>
      <sheetName val="EIR NCD"/>
      <sheetName val="DT components"/>
      <sheetName val="Reserve changes"/>
      <sheetName val="Proposed dividend"/>
      <sheetName val="Commission"/>
      <sheetName val="Loan processing fees"/>
      <sheetName val="Recovery Amount Working"/>
      <sheetName val="OVYS"/>
      <sheetName val="Sheet1 (2)"/>
      <sheetName val="Free Hold land- For Audit"/>
      <sheetName val="Security deposits-GSPC Gas"/>
      <sheetName val="DT calculations(new)"/>
      <sheetName val="DT calculations"/>
      <sheetName val="ICC"/>
      <sheetName val="Sheet5"/>
      <sheetName val="Indexation cal"/>
      <sheetName val="Mapping"/>
      <sheetName val="DT- Investment"/>
      <sheetName val="TB Sheet"/>
      <sheetName val="Ind AS Mapping (2)"/>
      <sheetName val="Sheet1"/>
      <sheetName val="alte"/>
    </sheetNames>
    <sheetDataSet>
      <sheetData sheetId="0">
        <row r="3">
          <cell r="D3">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1 (2)"/>
      <sheetName val="Sheet4"/>
      <sheetName val="Sheet2"/>
      <sheetName val="depreciation"/>
      <sheetName val="Title"/>
      <sheetName val="Addl.40"/>
    </sheetNames>
    <sheetDataSet>
      <sheetData sheetId="0"/>
      <sheetData sheetId="1"/>
      <sheetData sheetId="2"/>
      <sheetData sheetId="3"/>
      <sheetData sheetId="4" refreshError="1">
        <row r="2">
          <cell r="A2">
            <v>1200000</v>
          </cell>
          <cell r="B2" t="str">
            <v>1200000</v>
          </cell>
          <cell r="C2" t="str">
            <v>0</v>
          </cell>
          <cell r="D2" t="str">
            <v>12000</v>
          </cell>
          <cell r="E2" t="str">
            <v>TCSADMIN</v>
          </cell>
          <cell r="F2" t="str">
            <v/>
          </cell>
          <cell r="G2" t="str">
            <v>FURNITURE - GNFC</v>
          </cell>
          <cell r="H2">
            <v>1614390.75</v>
          </cell>
          <cell r="K2">
            <v>0</v>
          </cell>
          <cell r="L2">
            <v>0</v>
          </cell>
          <cell r="M2">
            <v>-1478597</v>
          </cell>
          <cell r="N2">
            <v>0</v>
          </cell>
          <cell r="O2">
            <v>0</v>
          </cell>
          <cell r="P2">
            <v>0</v>
          </cell>
          <cell r="Q2">
            <v>0</v>
          </cell>
          <cell r="R2">
            <v>0</v>
          </cell>
          <cell r="S2">
            <v>0</v>
          </cell>
          <cell r="T2">
            <v>0</v>
          </cell>
          <cell r="U2">
            <v>0</v>
          </cell>
          <cell r="V2">
            <v>-67896.88</v>
          </cell>
          <cell r="W2">
            <v>0</v>
          </cell>
          <cell r="X2">
            <v>0</v>
          </cell>
          <cell r="Y2">
            <v>0</v>
          </cell>
          <cell r="Z2">
            <v>0</v>
          </cell>
          <cell r="AA2">
            <v>0</v>
          </cell>
          <cell r="AB2">
            <v>0</v>
          </cell>
          <cell r="AC2">
            <v>0</v>
          </cell>
          <cell r="AD2">
            <v>0</v>
          </cell>
          <cell r="AE2">
            <v>0</v>
          </cell>
          <cell r="AF2">
            <v>0</v>
          </cell>
        </row>
        <row r="3">
          <cell r="A3">
            <v>1200000</v>
          </cell>
          <cell r="H3">
            <v>1614390.75</v>
          </cell>
          <cell r="I3">
            <v>1614390.75</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row>
        <row r="4">
          <cell r="A4">
            <v>1200000</v>
          </cell>
          <cell r="K4">
            <v>0</v>
          </cell>
          <cell r="L4">
            <v>0</v>
          </cell>
          <cell r="M4">
            <v>-1546493.88</v>
          </cell>
          <cell r="N4">
            <v>0</v>
          </cell>
          <cell r="O4">
            <v>0</v>
          </cell>
          <cell r="P4">
            <v>0</v>
          </cell>
          <cell r="Q4">
            <v>0</v>
          </cell>
          <cell r="R4">
            <v>0</v>
          </cell>
          <cell r="S4">
            <v>0</v>
          </cell>
          <cell r="T4">
            <v>0</v>
          </cell>
          <cell r="U4">
            <v>0</v>
          </cell>
          <cell r="V4">
            <v>-33948.44</v>
          </cell>
          <cell r="W4">
            <v>0</v>
          </cell>
          <cell r="X4">
            <v>0</v>
          </cell>
          <cell r="Y4">
            <v>0</v>
          </cell>
          <cell r="Z4">
            <v>0</v>
          </cell>
          <cell r="AA4">
            <v>0</v>
          </cell>
          <cell r="AB4">
            <v>0</v>
          </cell>
          <cell r="AC4">
            <v>0</v>
          </cell>
          <cell r="AD4">
            <v>0</v>
          </cell>
          <cell r="AE4">
            <v>0</v>
          </cell>
          <cell r="AF4">
            <v>0</v>
          </cell>
        </row>
        <row r="5">
          <cell r="A5">
            <v>1200000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row>
        <row r="6">
          <cell r="A6">
            <v>1200001</v>
          </cell>
          <cell r="B6" t="str">
            <v>1200001</v>
          </cell>
          <cell r="C6" t="str">
            <v>0</v>
          </cell>
          <cell r="D6" t="str">
            <v>12000</v>
          </cell>
          <cell r="E6" t="str">
            <v>TCSADMIN</v>
          </cell>
          <cell r="F6" t="str">
            <v/>
          </cell>
          <cell r="G6" t="str">
            <v>ELECTRIC WORKS</v>
          </cell>
          <cell r="H6">
            <v>115745</v>
          </cell>
          <cell r="K6">
            <v>0</v>
          </cell>
          <cell r="L6">
            <v>0</v>
          </cell>
          <cell r="M6">
            <v>-106100</v>
          </cell>
          <cell r="N6">
            <v>0</v>
          </cell>
          <cell r="O6">
            <v>0</v>
          </cell>
          <cell r="P6">
            <v>0</v>
          </cell>
          <cell r="Q6">
            <v>0</v>
          </cell>
          <cell r="R6">
            <v>0</v>
          </cell>
          <cell r="S6">
            <v>0</v>
          </cell>
          <cell r="T6">
            <v>0</v>
          </cell>
          <cell r="U6">
            <v>0</v>
          </cell>
          <cell r="V6">
            <v>-4822.5</v>
          </cell>
          <cell r="W6">
            <v>0</v>
          </cell>
          <cell r="X6">
            <v>0</v>
          </cell>
          <cell r="Y6">
            <v>0</v>
          </cell>
          <cell r="Z6">
            <v>0</v>
          </cell>
          <cell r="AA6">
            <v>0</v>
          </cell>
          <cell r="AB6">
            <v>0</v>
          </cell>
          <cell r="AC6">
            <v>0</v>
          </cell>
          <cell r="AD6">
            <v>0</v>
          </cell>
          <cell r="AE6">
            <v>0</v>
          </cell>
          <cell r="AF6">
            <v>0</v>
          </cell>
        </row>
        <row r="7">
          <cell r="A7">
            <v>1200001</v>
          </cell>
          <cell r="H7">
            <v>115745</v>
          </cell>
          <cell r="I7">
            <v>115745</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row>
        <row r="8">
          <cell r="A8">
            <v>1200001</v>
          </cell>
          <cell r="K8">
            <v>0</v>
          </cell>
          <cell r="L8">
            <v>0</v>
          </cell>
          <cell r="M8">
            <v>-110922.5</v>
          </cell>
          <cell r="N8">
            <v>0</v>
          </cell>
          <cell r="O8">
            <v>0</v>
          </cell>
          <cell r="P8">
            <v>0</v>
          </cell>
          <cell r="Q8">
            <v>0</v>
          </cell>
          <cell r="R8">
            <v>0</v>
          </cell>
          <cell r="S8">
            <v>0</v>
          </cell>
          <cell r="T8">
            <v>0</v>
          </cell>
          <cell r="U8">
            <v>0</v>
          </cell>
          <cell r="V8">
            <v>-2411.25</v>
          </cell>
          <cell r="W8">
            <v>0</v>
          </cell>
          <cell r="X8">
            <v>0</v>
          </cell>
          <cell r="Y8">
            <v>0</v>
          </cell>
          <cell r="Z8">
            <v>0</v>
          </cell>
          <cell r="AA8">
            <v>0</v>
          </cell>
          <cell r="AB8">
            <v>0</v>
          </cell>
          <cell r="AC8">
            <v>0</v>
          </cell>
          <cell r="AD8">
            <v>0</v>
          </cell>
          <cell r="AE8">
            <v>0</v>
          </cell>
          <cell r="AF8">
            <v>0</v>
          </cell>
        </row>
        <row r="9">
          <cell r="A9">
            <v>1200001</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row>
        <row r="10">
          <cell r="A10">
            <v>1200002</v>
          </cell>
          <cell r="B10" t="str">
            <v>1200002</v>
          </cell>
          <cell r="C10" t="str">
            <v>0</v>
          </cell>
          <cell r="D10" t="str">
            <v>12000</v>
          </cell>
          <cell r="E10" t="str">
            <v>TCSADMIN</v>
          </cell>
          <cell r="F10" t="str">
            <v/>
          </cell>
          <cell r="G10" t="str">
            <v>LAN - GNFC</v>
          </cell>
          <cell r="H10">
            <v>65776</v>
          </cell>
          <cell r="K10">
            <v>0</v>
          </cell>
          <cell r="L10">
            <v>0</v>
          </cell>
          <cell r="M10">
            <v>-60295</v>
          </cell>
          <cell r="N10">
            <v>0</v>
          </cell>
          <cell r="O10">
            <v>0</v>
          </cell>
          <cell r="P10">
            <v>0</v>
          </cell>
          <cell r="Q10">
            <v>0</v>
          </cell>
          <cell r="R10">
            <v>0</v>
          </cell>
          <cell r="S10">
            <v>0</v>
          </cell>
          <cell r="T10">
            <v>0</v>
          </cell>
          <cell r="U10">
            <v>0</v>
          </cell>
          <cell r="V10">
            <v>-2740.5</v>
          </cell>
          <cell r="W10">
            <v>0</v>
          </cell>
          <cell r="X10">
            <v>0</v>
          </cell>
          <cell r="Y10">
            <v>0</v>
          </cell>
          <cell r="Z10">
            <v>0</v>
          </cell>
          <cell r="AA10">
            <v>0</v>
          </cell>
          <cell r="AB10">
            <v>0</v>
          </cell>
          <cell r="AC10">
            <v>0</v>
          </cell>
          <cell r="AD10">
            <v>0</v>
          </cell>
          <cell r="AE10">
            <v>0</v>
          </cell>
          <cell r="AF10">
            <v>0</v>
          </cell>
        </row>
        <row r="11">
          <cell r="A11">
            <v>1200002</v>
          </cell>
          <cell r="H11">
            <v>65776</v>
          </cell>
          <cell r="I11">
            <v>65776</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row>
        <row r="12">
          <cell r="A12">
            <v>1200002</v>
          </cell>
          <cell r="K12">
            <v>0</v>
          </cell>
          <cell r="L12">
            <v>0</v>
          </cell>
          <cell r="M12">
            <v>-63035.5</v>
          </cell>
          <cell r="N12">
            <v>0</v>
          </cell>
          <cell r="O12">
            <v>0</v>
          </cell>
          <cell r="P12">
            <v>0</v>
          </cell>
          <cell r="Q12">
            <v>0</v>
          </cell>
          <cell r="R12">
            <v>0</v>
          </cell>
          <cell r="S12">
            <v>0</v>
          </cell>
          <cell r="T12">
            <v>0</v>
          </cell>
          <cell r="U12">
            <v>0</v>
          </cell>
          <cell r="V12">
            <v>-1370.25</v>
          </cell>
          <cell r="W12">
            <v>0</v>
          </cell>
          <cell r="X12">
            <v>0</v>
          </cell>
          <cell r="Y12">
            <v>0</v>
          </cell>
          <cell r="Z12">
            <v>0</v>
          </cell>
          <cell r="AA12">
            <v>0</v>
          </cell>
          <cell r="AB12">
            <v>0</v>
          </cell>
          <cell r="AC12">
            <v>0</v>
          </cell>
          <cell r="AD12">
            <v>0</v>
          </cell>
          <cell r="AE12">
            <v>0</v>
          </cell>
          <cell r="AF12">
            <v>0</v>
          </cell>
        </row>
        <row r="13">
          <cell r="A13">
            <v>1200002</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row>
        <row r="14">
          <cell r="A14">
            <v>1200003</v>
          </cell>
          <cell r="B14" t="str">
            <v>1200003</v>
          </cell>
          <cell r="C14" t="str">
            <v>0</v>
          </cell>
          <cell r="D14" t="str">
            <v>12000</v>
          </cell>
          <cell r="E14" t="str">
            <v>TCSADMIN</v>
          </cell>
          <cell r="F14" t="str">
            <v/>
          </cell>
          <cell r="G14" t="str">
            <v>LAN - GNFC</v>
          </cell>
          <cell r="H14">
            <v>39425</v>
          </cell>
          <cell r="K14">
            <v>0</v>
          </cell>
          <cell r="L14">
            <v>0</v>
          </cell>
          <cell r="M14">
            <v>-30122</v>
          </cell>
          <cell r="N14">
            <v>0</v>
          </cell>
          <cell r="O14">
            <v>0</v>
          </cell>
          <cell r="P14">
            <v>0</v>
          </cell>
          <cell r="Q14">
            <v>0</v>
          </cell>
          <cell r="R14">
            <v>0</v>
          </cell>
          <cell r="S14">
            <v>0</v>
          </cell>
          <cell r="T14">
            <v>0</v>
          </cell>
          <cell r="U14">
            <v>0</v>
          </cell>
          <cell r="V14">
            <v>-4651.5</v>
          </cell>
          <cell r="W14">
            <v>0</v>
          </cell>
          <cell r="X14">
            <v>0</v>
          </cell>
          <cell r="Y14">
            <v>0</v>
          </cell>
          <cell r="Z14">
            <v>0</v>
          </cell>
          <cell r="AA14">
            <v>0</v>
          </cell>
          <cell r="AB14">
            <v>0</v>
          </cell>
          <cell r="AC14">
            <v>0</v>
          </cell>
          <cell r="AD14">
            <v>0</v>
          </cell>
          <cell r="AE14">
            <v>0</v>
          </cell>
          <cell r="AF14">
            <v>0</v>
          </cell>
        </row>
        <row r="15">
          <cell r="A15">
            <v>1200003</v>
          </cell>
          <cell r="H15">
            <v>39425</v>
          </cell>
          <cell r="I15">
            <v>39425</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A16">
            <v>1200003</v>
          </cell>
          <cell r="K16">
            <v>0</v>
          </cell>
          <cell r="L16">
            <v>0</v>
          </cell>
          <cell r="M16">
            <v>-34773.5</v>
          </cell>
          <cell r="N16">
            <v>0</v>
          </cell>
          <cell r="O16">
            <v>0</v>
          </cell>
          <cell r="P16">
            <v>0</v>
          </cell>
          <cell r="Q16">
            <v>0</v>
          </cell>
          <cell r="R16">
            <v>0</v>
          </cell>
          <cell r="S16">
            <v>0</v>
          </cell>
          <cell r="T16">
            <v>0</v>
          </cell>
          <cell r="U16">
            <v>0</v>
          </cell>
          <cell r="V16">
            <v>-2325.75</v>
          </cell>
          <cell r="W16">
            <v>0</v>
          </cell>
          <cell r="X16">
            <v>0</v>
          </cell>
          <cell r="Y16">
            <v>0</v>
          </cell>
          <cell r="Z16">
            <v>0</v>
          </cell>
          <cell r="AA16">
            <v>0</v>
          </cell>
          <cell r="AB16">
            <v>0</v>
          </cell>
          <cell r="AC16">
            <v>0</v>
          </cell>
          <cell r="AD16">
            <v>0</v>
          </cell>
          <cell r="AE16">
            <v>0</v>
          </cell>
          <cell r="AF16">
            <v>0</v>
          </cell>
        </row>
        <row r="17">
          <cell r="A17">
            <v>1200003</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row>
        <row r="18">
          <cell r="A18">
            <v>1500000</v>
          </cell>
          <cell r="B18" t="str">
            <v>1500000</v>
          </cell>
          <cell r="C18" t="str">
            <v>0</v>
          </cell>
          <cell r="D18" t="str">
            <v>15000</v>
          </cell>
          <cell r="E18" t="str">
            <v>TCSADMIN</v>
          </cell>
          <cell r="F18" t="str">
            <v/>
          </cell>
          <cell r="G18" t="str">
            <v>FURNITURE</v>
          </cell>
          <cell r="H18">
            <v>17932</v>
          </cell>
          <cell r="K18">
            <v>0</v>
          </cell>
          <cell r="L18">
            <v>0</v>
          </cell>
          <cell r="M18">
            <v>-4801</v>
          </cell>
          <cell r="N18">
            <v>0</v>
          </cell>
          <cell r="O18">
            <v>0</v>
          </cell>
          <cell r="P18">
            <v>0</v>
          </cell>
          <cell r="Q18">
            <v>0</v>
          </cell>
          <cell r="R18">
            <v>0</v>
          </cell>
          <cell r="S18">
            <v>0</v>
          </cell>
          <cell r="T18">
            <v>0</v>
          </cell>
          <cell r="U18">
            <v>0</v>
          </cell>
          <cell r="V18">
            <v>-2376.71</v>
          </cell>
          <cell r="W18">
            <v>0</v>
          </cell>
          <cell r="X18">
            <v>0</v>
          </cell>
          <cell r="Y18">
            <v>0</v>
          </cell>
          <cell r="Z18">
            <v>0</v>
          </cell>
          <cell r="AA18">
            <v>0</v>
          </cell>
          <cell r="AB18">
            <v>0</v>
          </cell>
          <cell r="AC18">
            <v>0</v>
          </cell>
          <cell r="AD18">
            <v>0</v>
          </cell>
          <cell r="AE18">
            <v>0</v>
          </cell>
          <cell r="AF18">
            <v>0</v>
          </cell>
        </row>
        <row r="19">
          <cell r="A19">
            <v>1500000</v>
          </cell>
          <cell r="H19">
            <v>17932</v>
          </cell>
          <cell r="I19">
            <v>17932</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A20">
            <v>1500000</v>
          </cell>
          <cell r="H20">
            <v>17932</v>
          </cell>
          <cell r="K20">
            <v>0</v>
          </cell>
          <cell r="L20">
            <v>0</v>
          </cell>
          <cell r="M20">
            <v>-7177.71</v>
          </cell>
          <cell r="N20">
            <v>0</v>
          </cell>
          <cell r="O20">
            <v>0</v>
          </cell>
          <cell r="P20">
            <v>0</v>
          </cell>
          <cell r="Q20">
            <v>0</v>
          </cell>
          <cell r="R20">
            <v>0</v>
          </cell>
          <cell r="S20">
            <v>0</v>
          </cell>
          <cell r="T20">
            <v>0</v>
          </cell>
          <cell r="U20">
            <v>0</v>
          </cell>
          <cell r="V20">
            <v>-1946.53</v>
          </cell>
          <cell r="W20">
            <v>0</v>
          </cell>
          <cell r="X20">
            <v>0</v>
          </cell>
          <cell r="Y20">
            <v>0</v>
          </cell>
          <cell r="Z20">
            <v>0</v>
          </cell>
          <cell r="AA20">
            <v>0</v>
          </cell>
          <cell r="AB20">
            <v>0</v>
          </cell>
          <cell r="AC20">
            <v>0</v>
          </cell>
          <cell r="AD20">
            <v>0</v>
          </cell>
          <cell r="AE20">
            <v>0</v>
          </cell>
          <cell r="AF20">
            <v>0</v>
          </cell>
        </row>
        <row r="21">
          <cell r="A21">
            <v>1500000</v>
          </cell>
          <cell r="H21">
            <v>17932</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v>1500001</v>
          </cell>
          <cell r="B22" t="str">
            <v>1500001</v>
          </cell>
          <cell r="C22" t="str">
            <v>0</v>
          </cell>
          <cell r="D22" t="str">
            <v>15000</v>
          </cell>
          <cell r="E22" t="str">
            <v>TCSADMIN</v>
          </cell>
          <cell r="F22" t="str">
            <v/>
          </cell>
          <cell r="G22" t="str">
            <v>DOUBLE BED</v>
          </cell>
          <cell r="H22">
            <v>10400</v>
          </cell>
          <cell r="K22">
            <v>0</v>
          </cell>
          <cell r="L22">
            <v>0</v>
          </cell>
          <cell r="M22">
            <v>-2620</v>
          </cell>
          <cell r="N22">
            <v>0</v>
          </cell>
          <cell r="O22">
            <v>0</v>
          </cell>
          <cell r="P22">
            <v>0</v>
          </cell>
          <cell r="Q22">
            <v>0</v>
          </cell>
          <cell r="R22">
            <v>0</v>
          </cell>
          <cell r="S22">
            <v>0</v>
          </cell>
          <cell r="T22">
            <v>0</v>
          </cell>
          <cell r="U22">
            <v>0</v>
          </cell>
          <cell r="V22">
            <v>-1082.2</v>
          </cell>
          <cell r="W22">
            <v>0</v>
          </cell>
          <cell r="X22">
            <v>0</v>
          </cell>
          <cell r="Y22">
            <v>0</v>
          </cell>
          <cell r="Z22">
            <v>0</v>
          </cell>
          <cell r="AA22">
            <v>0</v>
          </cell>
          <cell r="AB22">
            <v>0</v>
          </cell>
          <cell r="AC22">
            <v>0</v>
          </cell>
          <cell r="AD22">
            <v>0</v>
          </cell>
          <cell r="AE22">
            <v>0</v>
          </cell>
          <cell r="AF22">
            <v>0</v>
          </cell>
        </row>
        <row r="23">
          <cell r="A23">
            <v>1500001</v>
          </cell>
          <cell r="H23">
            <v>10400</v>
          </cell>
          <cell r="I23">
            <v>10400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row>
        <row r="24">
          <cell r="A24">
            <v>1500001</v>
          </cell>
          <cell r="K24">
            <v>0</v>
          </cell>
          <cell r="L24">
            <v>0</v>
          </cell>
          <cell r="M24">
            <v>-3702.2</v>
          </cell>
          <cell r="N24">
            <v>0</v>
          </cell>
          <cell r="O24">
            <v>0</v>
          </cell>
          <cell r="P24">
            <v>0</v>
          </cell>
          <cell r="Q24">
            <v>0</v>
          </cell>
          <cell r="R24">
            <v>0</v>
          </cell>
          <cell r="S24">
            <v>0</v>
          </cell>
          <cell r="T24">
            <v>0</v>
          </cell>
          <cell r="U24">
            <v>0</v>
          </cell>
          <cell r="V24">
            <v>-931.66</v>
          </cell>
          <cell r="W24">
            <v>0</v>
          </cell>
          <cell r="X24">
            <v>0</v>
          </cell>
          <cell r="Y24">
            <v>0</v>
          </cell>
          <cell r="Z24">
            <v>0</v>
          </cell>
          <cell r="AA24">
            <v>0</v>
          </cell>
          <cell r="AB24">
            <v>0</v>
          </cell>
          <cell r="AC24">
            <v>0</v>
          </cell>
          <cell r="AD24">
            <v>0</v>
          </cell>
          <cell r="AE24">
            <v>0</v>
          </cell>
          <cell r="AF24">
            <v>0</v>
          </cell>
        </row>
        <row r="25">
          <cell r="A25">
            <v>1500001</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row>
        <row r="26">
          <cell r="A26">
            <v>1500002</v>
          </cell>
          <cell r="B26" t="str">
            <v>1500002</v>
          </cell>
          <cell r="C26" t="str">
            <v>0</v>
          </cell>
          <cell r="D26" t="str">
            <v>15000</v>
          </cell>
          <cell r="E26" t="str">
            <v>G3PREMAL</v>
          </cell>
          <cell r="F26" t="str">
            <v/>
          </cell>
          <cell r="G26" t="str">
            <v>FURNITURE &amp; FIXTURE -INFOCITY</v>
          </cell>
          <cell r="H26">
            <v>0</v>
          </cell>
          <cell r="K26">
            <v>0</v>
          </cell>
          <cell r="L26">
            <v>0</v>
          </cell>
          <cell r="M26">
            <v>0</v>
          </cell>
          <cell r="N26">
            <v>0</v>
          </cell>
          <cell r="O26">
            <v>0</v>
          </cell>
          <cell r="P26">
            <v>0</v>
          </cell>
          <cell r="Q26">
            <v>0</v>
          </cell>
          <cell r="R26">
            <v>0</v>
          </cell>
          <cell r="S26">
            <v>0</v>
          </cell>
          <cell r="T26">
            <v>0</v>
          </cell>
          <cell r="U26">
            <v>0</v>
          </cell>
          <cell r="V26">
            <v>-9224.85</v>
          </cell>
          <cell r="W26">
            <v>0</v>
          </cell>
          <cell r="X26">
            <v>0</v>
          </cell>
          <cell r="Y26">
            <v>0</v>
          </cell>
          <cell r="Z26">
            <v>0</v>
          </cell>
          <cell r="AA26">
            <v>0</v>
          </cell>
          <cell r="AB26">
            <v>84943.35</v>
          </cell>
          <cell r="AC26">
            <v>0</v>
          </cell>
          <cell r="AD26">
            <v>0</v>
          </cell>
          <cell r="AE26">
            <v>0</v>
          </cell>
          <cell r="AF26">
            <v>0</v>
          </cell>
        </row>
        <row r="27">
          <cell r="A27">
            <v>1500003</v>
          </cell>
          <cell r="B27" t="str">
            <v>1500003</v>
          </cell>
          <cell r="C27" t="str">
            <v>0</v>
          </cell>
          <cell r="D27" t="str">
            <v>15000</v>
          </cell>
          <cell r="E27" t="str">
            <v>G3PREMAL</v>
          </cell>
          <cell r="F27" t="str">
            <v/>
          </cell>
          <cell r="G27" t="str">
            <v>ROLLER BLINDS</v>
          </cell>
          <cell r="H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A28">
            <v>1500003</v>
          </cell>
          <cell r="H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A29">
            <v>1500003</v>
          </cell>
          <cell r="H29">
            <v>84943.35</v>
          </cell>
          <cell r="J29">
            <v>84943.35</v>
          </cell>
          <cell r="K29">
            <v>0</v>
          </cell>
          <cell r="L29">
            <v>0</v>
          </cell>
          <cell r="M29">
            <v>-9224.85</v>
          </cell>
          <cell r="N29">
            <v>0</v>
          </cell>
          <cell r="O29">
            <v>0</v>
          </cell>
          <cell r="P29">
            <v>0</v>
          </cell>
          <cell r="Q29">
            <v>0</v>
          </cell>
          <cell r="R29">
            <v>0</v>
          </cell>
          <cell r="S29">
            <v>0</v>
          </cell>
          <cell r="T29">
            <v>0</v>
          </cell>
          <cell r="U29">
            <v>0</v>
          </cell>
          <cell r="V29">
            <v>-13705.05</v>
          </cell>
          <cell r="W29">
            <v>0</v>
          </cell>
          <cell r="X29">
            <v>0</v>
          </cell>
          <cell r="Y29">
            <v>0</v>
          </cell>
          <cell r="Z29">
            <v>0</v>
          </cell>
          <cell r="AA29">
            <v>0</v>
          </cell>
          <cell r="AB29">
            <v>0</v>
          </cell>
          <cell r="AC29">
            <v>0</v>
          </cell>
          <cell r="AD29">
            <v>0</v>
          </cell>
          <cell r="AE29">
            <v>0</v>
          </cell>
          <cell r="AF29">
            <v>0</v>
          </cell>
        </row>
        <row r="30">
          <cell r="A30">
            <v>1500003</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A31">
            <v>1500004</v>
          </cell>
          <cell r="B31" t="str">
            <v>1500004</v>
          </cell>
          <cell r="C31" t="str">
            <v>0</v>
          </cell>
          <cell r="D31" t="str">
            <v>15000</v>
          </cell>
          <cell r="E31" t="str">
            <v>G3PREMAL</v>
          </cell>
          <cell r="F31" t="str">
            <v/>
          </cell>
          <cell r="G31" t="str">
            <v>Electrification Work</v>
          </cell>
          <cell r="H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A32">
            <v>1500005</v>
          </cell>
          <cell r="B32" t="str">
            <v>1500005</v>
          </cell>
          <cell r="C32" t="str">
            <v>0</v>
          </cell>
          <cell r="D32" t="str">
            <v>15000</v>
          </cell>
          <cell r="E32" t="str">
            <v>G3GAURAV</v>
          </cell>
          <cell r="F32" t="str">
            <v/>
          </cell>
          <cell r="G32" t="str">
            <v>Partition &amp; Wooden Work</v>
          </cell>
          <cell r="H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A33">
            <v>1500006</v>
          </cell>
          <cell r="B33" t="str">
            <v>1500006</v>
          </cell>
          <cell r="C33" t="str">
            <v>0</v>
          </cell>
          <cell r="D33" t="str">
            <v>15000</v>
          </cell>
          <cell r="E33" t="str">
            <v>G3PREMAL</v>
          </cell>
          <cell r="F33" t="str">
            <v/>
          </cell>
          <cell r="G33" t="str">
            <v>AIR Conditoner</v>
          </cell>
          <cell r="H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v>1500006</v>
          </cell>
          <cell r="H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row>
        <row r="35">
          <cell r="A35">
            <v>1500006</v>
          </cell>
          <cell r="H35">
            <v>512651</v>
          </cell>
          <cell r="J35">
            <v>512651</v>
          </cell>
          <cell r="K35">
            <v>0</v>
          </cell>
          <cell r="L35">
            <v>0</v>
          </cell>
          <cell r="M35">
            <v>-66605.31</v>
          </cell>
          <cell r="N35">
            <v>0</v>
          </cell>
          <cell r="O35">
            <v>0</v>
          </cell>
          <cell r="P35">
            <v>0</v>
          </cell>
          <cell r="Q35">
            <v>0</v>
          </cell>
          <cell r="R35">
            <v>0</v>
          </cell>
          <cell r="S35">
            <v>0</v>
          </cell>
          <cell r="T35">
            <v>0</v>
          </cell>
          <cell r="U35">
            <v>0</v>
          </cell>
          <cell r="V35">
            <v>-80734.27</v>
          </cell>
          <cell r="W35">
            <v>0</v>
          </cell>
          <cell r="X35">
            <v>0</v>
          </cell>
          <cell r="Y35">
            <v>0</v>
          </cell>
          <cell r="Z35">
            <v>0</v>
          </cell>
          <cell r="AA35">
            <v>0</v>
          </cell>
          <cell r="AB35">
            <v>0</v>
          </cell>
          <cell r="AC35">
            <v>0</v>
          </cell>
          <cell r="AD35">
            <v>0</v>
          </cell>
          <cell r="AE35">
            <v>0</v>
          </cell>
          <cell r="AF35">
            <v>0</v>
          </cell>
        </row>
        <row r="36">
          <cell r="A36">
            <v>1500006</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row>
        <row r="37">
          <cell r="A37">
            <v>1500007</v>
          </cell>
          <cell r="B37" t="str">
            <v>1500007</v>
          </cell>
          <cell r="C37" t="str">
            <v>0</v>
          </cell>
          <cell r="D37" t="str">
            <v>15000</v>
          </cell>
          <cell r="E37" t="str">
            <v>G3PREMAL</v>
          </cell>
          <cell r="F37" t="str">
            <v/>
          </cell>
          <cell r="G37" t="str">
            <v>Civil, Plumbing &amp; Sanitry Work</v>
          </cell>
          <cell r="H37">
            <v>0</v>
          </cell>
          <cell r="K37">
            <v>0</v>
          </cell>
          <cell r="L37">
            <v>0</v>
          </cell>
          <cell r="M37">
            <v>0</v>
          </cell>
          <cell r="N37">
            <v>0</v>
          </cell>
          <cell r="O37">
            <v>0</v>
          </cell>
          <cell r="P37">
            <v>0</v>
          </cell>
          <cell r="Q37">
            <v>0</v>
          </cell>
          <cell r="R37">
            <v>0</v>
          </cell>
          <cell r="S37">
            <v>0</v>
          </cell>
          <cell r="T37">
            <v>0</v>
          </cell>
          <cell r="U37">
            <v>0</v>
          </cell>
          <cell r="V37">
            <v>-39487.980000000003</v>
          </cell>
          <cell r="W37">
            <v>0</v>
          </cell>
          <cell r="X37">
            <v>0</v>
          </cell>
          <cell r="Y37">
            <v>0</v>
          </cell>
          <cell r="Z37">
            <v>0</v>
          </cell>
          <cell r="AA37">
            <v>0</v>
          </cell>
          <cell r="AB37">
            <v>303933</v>
          </cell>
          <cell r="AC37">
            <v>0</v>
          </cell>
          <cell r="AD37">
            <v>0</v>
          </cell>
          <cell r="AE37">
            <v>0</v>
          </cell>
          <cell r="AF37">
            <v>0</v>
          </cell>
        </row>
        <row r="38">
          <cell r="A38">
            <v>1500007</v>
          </cell>
          <cell r="H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303933</v>
          </cell>
          <cell r="AC38">
            <v>0</v>
          </cell>
          <cell r="AD38">
            <v>0</v>
          </cell>
          <cell r="AE38">
            <v>0</v>
          </cell>
          <cell r="AF38">
            <v>0</v>
          </cell>
        </row>
        <row r="39">
          <cell r="A39">
            <v>1500007</v>
          </cell>
          <cell r="H39">
            <v>303933</v>
          </cell>
          <cell r="J39">
            <v>303933</v>
          </cell>
          <cell r="K39">
            <v>0</v>
          </cell>
          <cell r="L39">
            <v>0</v>
          </cell>
          <cell r="M39">
            <v>-39487.980000000003</v>
          </cell>
          <cell r="N39">
            <v>0</v>
          </cell>
          <cell r="O39">
            <v>0</v>
          </cell>
          <cell r="P39">
            <v>0</v>
          </cell>
          <cell r="Q39">
            <v>0</v>
          </cell>
          <cell r="R39">
            <v>0</v>
          </cell>
          <cell r="S39">
            <v>0</v>
          </cell>
          <cell r="T39">
            <v>0</v>
          </cell>
          <cell r="U39">
            <v>0</v>
          </cell>
          <cell r="V39">
            <v>-47864.55</v>
          </cell>
          <cell r="W39">
            <v>0</v>
          </cell>
          <cell r="X39">
            <v>0</v>
          </cell>
          <cell r="Y39">
            <v>0</v>
          </cell>
          <cell r="Z39">
            <v>0</v>
          </cell>
          <cell r="AA39">
            <v>0</v>
          </cell>
          <cell r="AB39">
            <v>0</v>
          </cell>
          <cell r="AC39">
            <v>0</v>
          </cell>
          <cell r="AD39">
            <v>0</v>
          </cell>
          <cell r="AE39">
            <v>0</v>
          </cell>
          <cell r="AF39">
            <v>0</v>
          </cell>
        </row>
        <row r="40">
          <cell r="A40">
            <v>1500007</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A41">
            <v>1500008</v>
          </cell>
          <cell r="B41" t="str">
            <v>1500008</v>
          </cell>
          <cell r="C41" t="str">
            <v>0</v>
          </cell>
          <cell r="D41" t="str">
            <v>15000</v>
          </cell>
          <cell r="E41" t="str">
            <v>G3PREMAL</v>
          </cell>
          <cell r="F41" t="str">
            <v>G3PREMAL</v>
          </cell>
          <cell r="G41" t="str">
            <v>EXECUTIVE TABLE(A)</v>
          </cell>
          <cell r="H41">
            <v>0</v>
          </cell>
          <cell r="K41">
            <v>0</v>
          </cell>
          <cell r="L41">
            <v>0</v>
          </cell>
          <cell r="M41">
            <v>0</v>
          </cell>
          <cell r="N41">
            <v>0</v>
          </cell>
          <cell r="O41">
            <v>0</v>
          </cell>
          <cell r="P41">
            <v>0</v>
          </cell>
          <cell r="Q41">
            <v>0</v>
          </cell>
          <cell r="R41">
            <v>0</v>
          </cell>
          <cell r="S41">
            <v>0</v>
          </cell>
          <cell r="T41">
            <v>0</v>
          </cell>
          <cell r="U41">
            <v>0</v>
          </cell>
          <cell r="V41">
            <v>-5263.58</v>
          </cell>
          <cell r="W41">
            <v>0</v>
          </cell>
          <cell r="X41">
            <v>0</v>
          </cell>
          <cell r="Y41">
            <v>0</v>
          </cell>
          <cell r="Z41">
            <v>0</v>
          </cell>
          <cell r="AA41">
            <v>0</v>
          </cell>
          <cell r="AB41">
            <v>40513</v>
          </cell>
          <cell r="AC41">
            <v>0</v>
          </cell>
          <cell r="AD41">
            <v>0</v>
          </cell>
          <cell r="AE41">
            <v>0</v>
          </cell>
          <cell r="AF41">
            <v>0</v>
          </cell>
        </row>
        <row r="42">
          <cell r="A42">
            <v>1500008</v>
          </cell>
          <cell r="H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40513</v>
          </cell>
          <cell r="AC42">
            <v>0</v>
          </cell>
          <cell r="AD42">
            <v>0</v>
          </cell>
          <cell r="AE42">
            <v>0</v>
          </cell>
          <cell r="AF42">
            <v>0</v>
          </cell>
        </row>
        <row r="43">
          <cell r="A43">
            <v>1500008</v>
          </cell>
          <cell r="H43">
            <v>40513</v>
          </cell>
          <cell r="J43">
            <v>40513</v>
          </cell>
          <cell r="K43">
            <v>0</v>
          </cell>
          <cell r="L43">
            <v>0</v>
          </cell>
          <cell r="M43">
            <v>-5263.58</v>
          </cell>
          <cell r="N43">
            <v>0</v>
          </cell>
          <cell r="O43">
            <v>0</v>
          </cell>
          <cell r="P43">
            <v>0</v>
          </cell>
          <cell r="Q43">
            <v>0</v>
          </cell>
          <cell r="R43">
            <v>0</v>
          </cell>
          <cell r="S43">
            <v>0</v>
          </cell>
          <cell r="T43">
            <v>0</v>
          </cell>
          <cell r="U43">
            <v>0</v>
          </cell>
          <cell r="V43">
            <v>-6380.15</v>
          </cell>
          <cell r="W43">
            <v>0</v>
          </cell>
          <cell r="X43">
            <v>0</v>
          </cell>
          <cell r="Y43">
            <v>0</v>
          </cell>
          <cell r="Z43">
            <v>0</v>
          </cell>
          <cell r="AA43">
            <v>0</v>
          </cell>
          <cell r="AB43">
            <v>0</v>
          </cell>
          <cell r="AC43">
            <v>0</v>
          </cell>
          <cell r="AD43">
            <v>0</v>
          </cell>
          <cell r="AE43">
            <v>0</v>
          </cell>
          <cell r="AF43">
            <v>0</v>
          </cell>
        </row>
        <row r="44">
          <cell r="A44">
            <v>1500008</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row>
        <row r="45">
          <cell r="A45">
            <v>1500009</v>
          </cell>
          <cell r="B45" t="str">
            <v>1500009</v>
          </cell>
          <cell r="C45" t="str">
            <v>0</v>
          </cell>
          <cell r="D45" t="str">
            <v>15000</v>
          </cell>
          <cell r="E45" t="str">
            <v>G3PREMAL</v>
          </cell>
          <cell r="F45" t="str">
            <v>G3PREMAL</v>
          </cell>
          <cell r="G45" t="str">
            <v>EXECUTIVE TABLE(B)</v>
          </cell>
          <cell r="H45">
            <v>0</v>
          </cell>
          <cell r="K45">
            <v>0</v>
          </cell>
          <cell r="L45">
            <v>0</v>
          </cell>
          <cell r="M45">
            <v>0</v>
          </cell>
          <cell r="N45">
            <v>0</v>
          </cell>
          <cell r="O45">
            <v>0</v>
          </cell>
          <cell r="P45">
            <v>0</v>
          </cell>
          <cell r="Q45">
            <v>0</v>
          </cell>
          <cell r="R45">
            <v>0</v>
          </cell>
          <cell r="S45">
            <v>0</v>
          </cell>
          <cell r="T45">
            <v>0</v>
          </cell>
          <cell r="U45">
            <v>0</v>
          </cell>
          <cell r="V45">
            <v>-3550.93</v>
          </cell>
          <cell r="W45">
            <v>0</v>
          </cell>
          <cell r="X45">
            <v>0</v>
          </cell>
          <cell r="Y45">
            <v>0</v>
          </cell>
          <cell r="Z45">
            <v>0</v>
          </cell>
          <cell r="AA45">
            <v>0</v>
          </cell>
          <cell r="AB45">
            <v>27331</v>
          </cell>
          <cell r="AC45">
            <v>0</v>
          </cell>
          <cell r="AD45">
            <v>0</v>
          </cell>
          <cell r="AE45">
            <v>0</v>
          </cell>
          <cell r="AF45">
            <v>0</v>
          </cell>
        </row>
        <row r="46">
          <cell r="A46">
            <v>1500009</v>
          </cell>
          <cell r="H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27331</v>
          </cell>
          <cell r="AC46">
            <v>0</v>
          </cell>
          <cell r="AD46">
            <v>0</v>
          </cell>
          <cell r="AE46">
            <v>0</v>
          </cell>
          <cell r="AF46">
            <v>0</v>
          </cell>
        </row>
        <row r="47">
          <cell r="A47">
            <v>1500009</v>
          </cell>
          <cell r="H47">
            <v>27331</v>
          </cell>
          <cell r="J47">
            <v>27331</v>
          </cell>
          <cell r="K47">
            <v>0</v>
          </cell>
          <cell r="L47">
            <v>0</v>
          </cell>
          <cell r="M47">
            <v>-3550.93</v>
          </cell>
          <cell r="N47">
            <v>0</v>
          </cell>
          <cell r="O47">
            <v>0</v>
          </cell>
          <cell r="P47">
            <v>0</v>
          </cell>
          <cell r="Q47">
            <v>0</v>
          </cell>
          <cell r="R47">
            <v>0</v>
          </cell>
          <cell r="S47">
            <v>0</v>
          </cell>
          <cell r="T47">
            <v>0</v>
          </cell>
          <cell r="U47">
            <v>0</v>
          </cell>
          <cell r="V47">
            <v>-4304.1899999999996</v>
          </cell>
          <cell r="W47">
            <v>0</v>
          </cell>
          <cell r="X47">
            <v>0</v>
          </cell>
          <cell r="Y47">
            <v>0</v>
          </cell>
          <cell r="Z47">
            <v>0</v>
          </cell>
          <cell r="AA47">
            <v>0</v>
          </cell>
          <cell r="AB47">
            <v>0</v>
          </cell>
          <cell r="AC47">
            <v>0</v>
          </cell>
          <cell r="AD47">
            <v>0</v>
          </cell>
          <cell r="AE47">
            <v>0</v>
          </cell>
          <cell r="AF47">
            <v>0</v>
          </cell>
        </row>
        <row r="48">
          <cell r="A48">
            <v>1500009</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row>
        <row r="49">
          <cell r="A49">
            <v>1500010</v>
          </cell>
          <cell r="B49" t="str">
            <v>1500010</v>
          </cell>
          <cell r="C49" t="str">
            <v>0</v>
          </cell>
          <cell r="D49" t="str">
            <v>15000</v>
          </cell>
          <cell r="E49" t="str">
            <v>G3PREMAL</v>
          </cell>
          <cell r="F49" t="str">
            <v>G3PREMAL</v>
          </cell>
          <cell r="G49" t="str">
            <v>SIDE UNIT FOR EXE. TABLE</v>
          </cell>
          <cell r="H49">
            <v>0</v>
          </cell>
          <cell r="K49">
            <v>0</v>
          </cell>
          <cell r="L49">
            <v>0</v>
          </cell>
          <cell r="M49">
            <v>0</v>
          </cell>
          <cell r="N49">
            <v>0</v>
          </cell>
          <cell r="O49">
            <v>0</v>
          </cell>
          <cell r="P49">
            <v>0</v>
          </cell>
          <cell r="Q49">
            <v>0</v>
          </cell>
          <cell r="R49">
            <v>0</v>
          </cell>
          <cell r="S49">
            <v>0</v>
          </cell>
          <cell r="T49">
            <v>0</v>
          </cell>
          <cell r="U49">
            <v>0</v>
          </cell>
          <cell r="V49">
            <v>-3517.81</v>
          </cell>
          <cell r="W49">
            <v>0</v>
          </cell>
          <cell r="X49">
            <v>0</v>
          </cell>
          <cell r="Y49">
            <v>0</v>
          </cell>
          <cell r="Z49">
            <v>0</v>
          </cell>
          <cell r="AA49">
            <v>0</v>
          </cell>
          <cell r="AB49">
            <v>27076</v>
          </cell>
          <cell r="AC49">
            <v>0</v>
          </cell>
          <cell r="AD49">
            <v>0</v>
          </cell>
          <cell r="AE49">
            <v>0</v>
          </cell>
          <cell r="AF49">
            <v>0</v>
          </cell>
        </row>
        <row r="50">
          <cell r="A50">
            <v>1500010</v>
          </cell>
          <cell r="H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27076</v>
          </cell>
          <cell r="AC50">
            <v>0</v>
          </cell>
          <cell r="AD50">
            <v>0</v>
          </cell>
          <cell r="AE50">
            <v>0</v>
          </cell>
          <cell r="AF50">
            <v>0</v>
          </cell>
        </row>
        <row r="51">
          <cell r="A51">
            <v>1500010</v>
          </cell>
          <cell r="H51">
            <v>27076</v>
          </cell>
          <cell r="J51">
            <v>27076</v>
          </cell>
          <cell r="K51">
            <v>0</v>
          </cell>
          <cell r="L51">
            <v>0</v>
          </cell>
          <cell r="M51">
            <v>-3517.81</v>
          </cell>
          <cell r="N51">
            <v>0</v>
          </cell>
          <cell r="O51">
            <v>0</v>
          </cell>
          <cell r="P51">
            <v>0</v>
          </cell>
          <cell r="Q51">
            <v>0</v>
          </cell>
          <cell r="R51">
            <v>0</v>
          </cell>
          <cell r="S51">
            <v>0</v>
          </cell>
          <cell r="T51">
            <v>0</v>
          </cell>
          <cell r="U51">
            <v>0</v>
          </cell>
          <cell r="V51">
            <v>-4264.03</v>
          </cell>
          <cell r="W51">
            <v>0</v>
          </cell>
          <cell r="X51">
            <v>0</v>
          </cell>
          <cell r="Y51">
            <v>0</v>
          </cell>
          <cell r="Z51">
            <v>0</v>
          </cell>
          <cell r="AA51">
            <v>0</v>
          </cell>
          <cell r="AB51">
            <v>0</v>
          </cell>
          <cell r="AC51">
            <v>0</v>
          </cell>
          <cell r="AD51">
            <v>0</v>
          </cell>
          <cell r="AE51">
            <v>0</v>
          </cell>
          <cell r="AF51">
            <v>0</v>
          </cell>
        </row>
        <row r="52">
          <cell r="A52">
            <v>1500010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v>1500011</v>
          </cell>
          <cell r="B53" t="str">
            <v>1500011</v>
          </cell>
          <cell r="C53" t="str">
            <v>0</v>
          </cell>
          <cell r="D53" t="str">
            <v>15000</v>
          </cell>
          <cell r="E53" t="str">
            <v>G3PREMAL</v>
          </cell>
          <cell r="F53" t="str">
            <v>G3PREMAL</v>
          </cell>
          <cell r="G53" t="str">
            <v>PEDESTAL UNIT UNDER TABLE</v>
          </cell>
          <cell r="H53">
            <v>0</v>
          </cell>
          <cell r="K53">
            <v>0</v>
          </cell>
          <cell r="L53">
            <v>0</v>
          </cell>
          <cell r="M53">
            <v>0</v>
          </cell>
          <cell r="N53">
            <v>0</v>
          </cell>
          <cell r="O53">
            <v>0</v>
          </cell>
          <cell r="P53">
            <v>0</v>
          </cell>
          <cell r="Q53">
            <v>0</v>
          </cell>
          <cell r="R53">
            <v>0</v>
          </cell>
          <cell r="S53">
            <v>0</v>
          </cell>
          <cell r="T53">
            <v>0</v>
          </cell>
          <cell r="U53">
            <v>0</v>
          </cell>
          <cell r="V53">
            <v>-14177.23</v>
          </cell>
          <cell r="W53">
            <v>0</v>
          </cell>
          <cell r="X53">
            <v>0</v>
          </cell>
          <cell r="Y53">
            <v>0</v>
          </cell>
          <cell r="Z53">
            <v>0</v>
          </cell>
          <cell r="AA53">
            <v>0</v>
          </cell>
          <cell r="AB53">
            <v>109120</v>
          </cell>
          <cell r="AC53">
            <v>0</v>
          </cell>
          <cell r="AD53">
            <v>0</v>
          </cell>
          <cell r="AE53">
            <v>0</v>
          </cell>
          <cell r="AF53">
            <v>0</v>
          </cell>
        </row>
        <row r="54">
          <cell r="A54">
            <v>1500011</v>
          </cell>
          <cell r="H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109120</v>
          </cell>
          <cell r="AC54">
            <v>0</v>
          </cell>
          <cell r="AD54">
            <v>0</v>
          </cell>
          <cell r="AE54">
            <v>0</v>
          </cell>
          <cell r="AF54">
            <v>0</v>
          </cell>
        </row>
        <row r="55">
          <cell r="A55">
            <v>1500011</v>
          </cell>
          <cell r="H55">
            <v>109120</v>
          </cell>
          <cell r="J55">
            <v>109120</v>
          </cell>
          <cell r="K55">
            <v>0</v>
          </cell>
          <cell r="L55">
            <v>0</v>
          </cell>
          <cell r="M55">
            <v>-14177.23</v>
          </cell>
          <cell r="N55">
            <v>0</v>
          </cell>
          <cell r="O55">
            <v>0</v>
          </cell>
          <cell r="P55">
            <v>0</v>
          </cell>
          <cell r="Q55">
            <v>0</v>
          </cell>
          <cell r="R55">
            <v>0</v>
          </cell>
          <cell r="S55">
            <v>0</v>
          </cell>
          <cell r="T55">
            <v>0</v>
          </cell>
          <cell r="U55">
            <v>0</v>
          </cell>
          <cell r="V55">
            <v>-17184.64</v>
          </cell>
          <cell r="W55">
            <v>0</v>
          </cell>
          <cell r="X55">
            <v>0</v>
          </cell>
          <cell r="Y55">
            <v>0</v>
          </cell>
          <cell r="Z55">
            <v>0</v>
          </cell>
          <cell r="AA55">
            <v>0</v>
          </cell>
          <cell r="AB55">
            <v>0</v>
          </cell>
          <cell r="AC55">
            <v>0</v>
          </cell>
          <cell r="AD55">
            <v>0</v>
          </cell>
          <cell r="AE55">
            <v>0</v>
          </cell>
          <cell r="AF55">
            <v>0</v>
          </cell>
        </row>
        <row r="56">
          <cell r="A56">
            <v>1500011</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A57">
            <v>1500012</v>
          </cell>
          <cell r="B57" t="str">
            <v>1500012</v>
          </cell>
          <cell r="C57" t="str">
            <v>0</v>
          </cell>
          <cell r="D57" t="str">
            <v>15000</v>
          </cell>
          <cell r="E57" t="str">
            <v>G3PREMAL</v>
          </cell>
          <cell r="F57" t="str">
            <v>G3PREMAL</v>
          </cell>
          <cell r="G57" t="str">
            <v>WORKING TABLE</v>
          </cell>
          <cell r="H57">
            <v>0</v>
          </cell>
          <cell r="K57">
            <v>0</v>
          </cell>
          <cell r="L57">
            <v>0</v>
          </cell>
          <cell r="M57">
            <v>0</v>
          </cell>
          <cell r="N57">
            <v>0</v>
          </cell>
          <cell r="O57">
            <v>0</v>
          </cell>
          <cell r="P57">
            <v>0</v>
          </cell>
          <cell r="Q57">
            <v>0</v>
          </cell>
          <cell r="R57">
            <v>0</v>
          </cell>
          <cell r="S57">
            <v>0</v>
          </cell>
          <cell r="T57">
            <v>0</v>
          </cell>
          <cell r="U57">
            <v>0</v>
          </cell>
          <cell r="V57">
            <v>-12696.11</v>
          </cell>
          <cell r="W57">
            <v>0</v>
          </cell>
          <cell r="X57">
            <v>0</v>
          </cell>
          <cell r="Y57">
            <v>0</v>
          </cell>
          <cell r="Z57">
            <v>0</v>
          </cell>
          <cell r="AA57">
            <v>0</v>
          </cell>
          <cell r="AB57">
            <v>97720</v>
          </cell>
          <cell r="AC57">
            <v>0</v>
          </cell>
          <cell r="AD57">
            <v>0</v>
          </cell>
          <cell r="AE57">
            <v>0</v>
          </cell>
          <cell r="AF57">
            <v>0</v>
          </cell>
        </row>
        <row r="58">
          <cell r="A58">
            <v>1500012</v>
          </cell>
          <cell r="H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97720</v>
          </cell>
          <cell r="AC58">
            <v>0</v>
          </cell>
          <cell r="AD58">
            <v>0</v>
          </cell>
          <cell r="AE58">
            <v>0</v>
          </cell>
          <cell r="AF58">
            <v>0</v>
          </cell>
        </row>
        <row r="59">
          <cell r="A59">
            <v>1500012</v>
          </cell>
          <cell r="H59">
            <v>97720</v>
          </cell>
          <cell r="J59">
            <v>97720</v>
          </cell>
          <cell r="K59">
            <v>0</v>
          </cell>
          <cell r="L59">
            <v>0</v>
          </cell>
          <cell r="M59">
            <v>-12696.11</v>
          </cell>
          <cell r="N59">
            <v>0</v>
          </cell>
          <cell r="O59">
            <v>0</v>
          </cell>
          <cell r="P59">
            <v>0</v>
          </cell>
          <cell r="Q59">
            <v>0</v>
          </cell>
          <cell r="R59">
            <v>0</v>
          </cell>
          <cell r="S59">
            <v>0</v>
          </cell>
          <cell r="T59">
            <v>0</v>
          </cell>
          <cell r="U59">
            <v>0</v>
          </cell>
          <cell r="V59">
            <v>-15389.32</v>
          </cell>
          <cell r="W59">
            <v>0</v>
          </cell>
          <cell r="X59">
            <v>0</v>
          </cell>
          <cell r="Y59">
            <v>0</v>
          </cell>
          <cell r="Z59">
            <v>0</v>
          </cell>
          <cell r="AA59">
            <v>0</v>
          </cell>
          <cell r="AB59">
            <v>0</v>
          </cell>
          <cell r="AC59">
            <v>0</v>
          </cell>
          <cell r="AD59">
            <v>0</v>
          </cell>
          <cell r="AE59">
            <v>0</v>
          </cell>
          <cell r="AF59">
            <v>0</v>
          </cell>
        </row>
        <row r="60">
          <cell r="A60">
            <v>1500012</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v>1500013</v>
          </cell>
          <cell r="B61" t="str">
            <v>1500013</v>
          </cell>
          <cell r="C61" t="str">
            <v>0</v>
          </cell>
          <cell r="D61" t="str">
            <v>15000</v>
          </cell>
          <cell r="E61" t="str">
            <v>G3PREMAL</v>
          </cell>
          <cell r="F61" t="str">
            <v>G3PREMAL</v>
          </cell>
          <cell r="G61" t="str">
            <v>RECEPTION TABLE including Corner Table</v>
          </cell>
          <cell r="H61">
            <v>0</v>
          </cell>
          <cell r="K61">
            <v>0</v>
          </cell>
          <cell r="L61">
            <v>0</v>
          </cell>
          <cell r="M61">
            <v>0</v>
          </cell>
          <cell r="N61">
            <v>0</v>
          </cell>
          <cell r="O61">
            <v>0</v>
          </cell>
          <cell r="P61">
            <v>0</v>
          </cell>
          <cell r="Q61">
            <v>0</v>
          </cell>
          <cell r="R61">
            <v>0</v>
          </cell>
          <cell r="S61">
            <v>0</v>
          </cell>
          <cell r="T61">
            <v>0</v>
          </cell>
          <cell r="U61">
            <v>0</v>
          </cell>
          <cell r="V61">
            <v>-1639.89</v>
          </cell>
          <cell r="W61">
            <v>0</v>
          </cell>
          <cell r="X61">
            <v>0</v>
          </cell>
          <cell r="Y61">
            <v>0</v>
          </cell>
          <cell r="Z61">
            <v>0</v>
          </cell>
          <cell r="AA61">
            <v>0</v>
          </cell>
          <cell r="AB61">
            <v>12622</v>
          </cell>
          <cell r="AC61">
            <v>0</v>
          </cell>
          <cell r="AD61">
            <v>0</v>
          </cell>
          <cell r="AE61">
            <v>0</v>
          </cell>
          <cell r="AF61">
            <v>0</v>
          </cell>
        </row>
        <row r="62">
          <cell r="A62">
            <v>1500013</v>
          </cell>
          <cell r="H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12622</v>
          </cell>
          <cell r="AC62">
            <v>0</v>
          </cell>
          <cell r="AD62">
            <v>0</v>
          </cell>
          <cell r="AE62">
            <v>0</v>
          </cell>
          <cell r="AF62">
            <v>0</v>
          </cell>
        </row>
        <row r="63">
          <cell r="A63">
            <v>1500013</v>
          </cell>
          <cell r="H63">
            <v>12622</v>
          </cell>
          <cell r="J63">
            <v>12622</v>
          </cell>
          <cell r="K63">
            <v>0</v>
          </cell>
          <cell r="L63">
            <v>0</v>
          </cell>
          <cell r="M63">
            <v>-1639.89</v>
          </cell>
          <cell r="N63">
            <v>0</v>
          </cell>
          <cell r="O63">
            <v>0</v>
          </cell>
          <cell r="P63">
            <v>0</v>
          </cell>
          <cell r="Q63">
            <v>0</v>
          </cell>
          <cell r="R63">
            <v>0</v>
          </cell>
          <cell r="S63">
            <v>0</v>
          </cell>
          <cell r="T63">
            <v>0</v>
          </cell>
          <cell r="U63">
            <v>0</v>
          </cell>
          <cell r="V63">
            <v>-1987.76</v>
          </cell>
          <cell r="W63">
            <v>0</v>
          </cell>
          <cell r="X63">
            <v>0</v>
          </cell>
          <cell r="Y63">
            <v>0</v>
          </cell>
          <cell r="Z63">
            <v>0</v>
          </cell>
          <cell r="AA63">
            <v>0</v>
          </cell>
          <cell r="AB63">
            <v>0</v>
          </cell>
          <cell r="AC63">
            <v>0</v>
          </cell>
          <cell r="AD63">
            <v>0</v>
          </cell>
          <cell r="AE63">
            <v>0</v>
          </cell>
          <cell r="AF63">
            <v>0</v>
          </cell>
        </row>
        <row r="64">
          <cell r="A64">
            <v>1500013</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row>
        <row r="65">
          <cell r="A65">
            <v>1500014</v>
          </cell>
          <cell r="B65" t="str">
            <v>1500014</v>
          </cell>
          <cell r="C65" t="str">
            <v>0</v>
          </cell>
          <cell r="D65" t="str">
            <v>15000</v>
          </cell>
          <cell r="E65" t="str">
            <v>G3PREMAL</v>
          </cell>
          <cell r="F65" t="str">
            <v>G3PREMAL</v>
          </cell>
          <cell r="G65" t="str">
            <v>DINNING TABLE</v>
          </cell>
          <cell r="H65">
            <v>0</v>
          </cell>
          <cell r="K65">
            <v>0</v>
          </cell>
          <cell r="L65">
            <v>0</v>
          </cell>
          <cell r="M65">
            <v>0</v>
          </cell>
          <cell r="N65">
            <v>0</v>
          </cell>
          <cell r="O65">
            <v>0</v>
          </cell>
          <cell r="P65">
            <v>0</v>
          </cell>
          <cell r="Q65">
            <v>0</v>
          </cell>
          <cell r="R65">
            <v>0</v>
          </cell>
          <cell r="S65">
            <v>0</v>
          </cell>
          <cell r="T65">
            <v>0</v>
          </cell>
          <cell r="U65">
            <v>0</v>
          </cell>
          <cell r="V65">
            <v>-2273.4</v>
          </cell>
          <cell r="W65">
            <v>0</v>
          </cell>
          <cell r="X65">
            <v>0</v>
          </cell>
          <cell r="Y65">
            <v>0</v>
          </cell>
          <cell r="Z65">
            <v>0</v>
          </cell>
          <cell r="AA65">
            <v>0</v>
          </cell>
          <cell r="AB65">
            <v>17498</v>
          </cell>
          <cell r="AC65">
            <v>0</v>
          </cell>
          <cell r="AD65">
            <v>0</v>
          </cell>
          <cell r="AE65">
            <v>0</v>
          </cell>
          <cell r="AF65">
            <v>0</v>
          </cell>
        </row>
        <row r="66">
          <cell r="A66">
            <v>1500014</v>
          </cell>
          <cell r="H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17498</v>
          </cell>
          <cell r="AC66">
            <v>0</v>
          </cell>
          <cell r="AD66">
            <v>0</v>
          </cell>
          <cell r="AE66">
            <v>0</v>
          </cell>
          <cell r="AF66">
            <v>0</v>
          </cell>
        </row>
        <row r="67">
          <cell r="A67">
            <v>1500014</v>
          </cell>
          <cell r="H67">
            <v>17498</v>
          </cell>
          <cell r="J67">
            <v>17498</v>
          </cell>
          <cell r="K67">
            <v>0</v>
          </cell>
          <cell r="L67">
            <v>0</v>
          </cell>
          <cell r="M67">
            <v>-2273.4</v>
          </cell>
          <cell r="N67">
            <v>0</v>
          </cell>
          <cell r="O67">
            <v>0</v>
          </cell>
          <cell r="P67">
            <v>0</v>
          </cell>
          <cell r="Q67">
            <v>0</v>
          </cell>
          <cell r="R67">
            <v>0</v>
          </cell>
          <cell r="S67">
            <v>0</v>
          </cell>
          <cell r="T67">
            <v>0</v>
          </cell>
          <cell r="U67">
            <v>0</v>
          </cell>
          <cell r="V67">
            <v>-2755.65</v>
          </cell>
          <cell r="W67">
            <v>0</v>
          </cell>
          <cell r="X67">
            <v>0</v>
          </cell>
          <cell r="Y67">
            <v>0</v>
          </cell>
          <cell r="Z67">
            <v>0</v>
          </cell>
          <cell r="AA67">
            <v>0</v>
          </cell>
          <cell r="AB67">
            <v>0</v>
          </cell>
          <cell r="AC67">
            <v>0</v>
          </cell>
          <cell r="AD67">
            <v>0</v>
          </cell>
          <cell r="AE67">
            <v>0</v>
          </cell>
          <cell r="AF67">
            <v>0</v>
          </cell>
        </row>
        <row r="68">
          <cell r="A68">
            <v>1500014</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A69">
            <v>1500015</v>
          </cell>
          <cell r="B69" t="str">
            <v>1500015</v>
          </cell>
          <cell r="C69" t="str">
            <v>0</v>
          </cell>
          <cell r="D69" t="str">
            <v>15000</v>
          </cell>
          <cell r="E69" t="str">
            <v>G3PREMAL</v>
          </cell>
          <cell r="F69" t="str">
            <v>G3PREMAL</v>
          </cell>
          <cell r="G69" t="str">
            <v>MEETING TABLE</v>
          </cell>
          <cell r="H69">
            <v>0</v>
          </cell>
          <cell r="K69">
            <v>0</v>
          </cell>
          <cell r="L69">
            <v>0</v>
          </cell>
          <cell r="M69">
            <v>0</v>
          </cell>
          <cell r="N69">
            <v>0</v>
          </cell>
          <cell r="O69">
            <v>0</v>
          </cell>
          <cell r="P69">
            <v>0</v>
          </cell>
          <cell r="Q69">
            <v>0</v>
          </cell>
          <cell r="R69">
            <v>0</v>
          </cell>
          <cell r="S69">
            <v>0</v>
          </cell>
          <cell r="T69">
            <v>0</v>
          </cell>
          <cell r="U69">
            <v>0</v>
          </cell>
          <cell r="V69">
            <v>-2380.4499999999998</v>
          </cell>
          <cell r="W69">
            <v>0</v>
          </cell>
          <cell r="X69">
            <v>0</v>
          </cell>
          <cell r="Y69">
            <v>0</v>
          </cell>
          <cell r="Z69">
            <v>0</v>
          </cell>
          <cell r="AA69">
            <v>0</v>
          </cell>
          <cell r="AB69">
            <v>18322</v>
          </cell>
          <cell r="AC69">
            <v>0</v>
          </cell>
          <cell r="AD69">
            <v>0</v>
          </cell>
          <cell r="AE69">
            <v>0</v>
          </cell>
          <cell r="AF69">
            <v>0</v>
          </cell>
        </row>
        <row r="70">
          <cell r="A70">
            <v>1500015</v>
          </cell>
          <cell r="H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18322</v>
          </cell>
          <cell r="AC70">
            <v>0</v>
          </cell>
          <cell r="AD70">
            <v>0</v>
          </cell>
          <cell r="AE70">
            <v>0</v>
          </cell>
          <cell r="AF70">
            <v>0</v>
          </cell>
        </row>
        <row r="71">
          <cell r="A71">
            <v>1500015</v>
          </cell>
          <cell r="H71">
            <v>18322</v>
          </cell>
          <cell r="J71">
            <v>18322</v>
          </cell>
          <cell r="K71">
            <v>0</v>
          </cell>
          <cell r="L71">
            <v>0</v>
          </cell>
          <cell r="M71">
            <v>-2380.4499999999998</v>
          </cell>
          <cell r="N71">
            <v>0</v>
          </cell>
          <cell r="O71">
            <v>0</v>
          </cell>
          <cell r="P71">
            <v>0</v>
          </cell>
          <cell r="Q71">
            <v>0</v>
          </cell>
          <cell r="R71">
            <v>0</v>
          </cell>
          <cell r="S71">
            <v>0</v>
          </cell>
          <cell r="T71">
            <v>0</v>
          </cell>
          <cell r="U71">
            <v>0</v>
          </cell>
          <cell r="V71">
            <v>-2885.42</v>
          </cell>
          <cell r="W71">
            <v>0</v>
          </cell>
          <cell r="X71">
            <v>0</v>
          </cell>
          <cell r="Y71">
            <v>0</v>
          </cell>
          <cell r="Z71">
            <v>0</v>
          </cell>
          <cell r="AA71">
            <v>0</v>
          </cell>
          <cell r="AB71">
            <v>0</v>
          </cell>
          <cell r="AC71">
            <v>0</v>
          </cell>
          <cell r="AD71">
            <v>0</v>
          </cell>
          <cell r="AE71">
            <v>0</v>
          </cell>
          <cell r="AF71">
            <v>0</v>
          </cell>
        </row>
        <row r="72">
          <cell r="A72">
            <v>1500015</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row>
        <row r="73">
          <cell r="A73">
            <v>1500016</v>
          </cell>
          <cell r="B73" t="str">
            <v>1500016</v>
          </cell>
          <cell r="C73" t="str">
            <v>0</v>
          </cell>
          <cell r="D73" t="str">
            <v>15000</v>
          </cell>
          <cell r="E73" t="str">
            <v>G3PREMAL</v>
          </cell>
          <cell r="F73" t="str">
            <v>G3PREMAL</v>
          </cell>
          <cell r="G73" t="str">
            <v>CORNER TABLE</v>
          </cell>
          <cell r="H73">
            <v>0</v>
          </cell>
          <cell r="K73">
            <v>0</v>
          </cell>
          <cell r="L73">
            <v>0</v>
          </cell>
          <cell r="M73">
            <v>0</v>
          </cell>
          <cell r="N73">
            <v>0</v>
          </cell>
          <cell r="O73">
            <v>0</v>
          </cell>
          <cell r="P73">
            <v>0</v>
          </cell>
          <cell r="Q73">
            <v>0</v>
          </cell>
          <cell r="R73">
            <v>0</v>
          </cell>
          <cell r="S73">
            <v>0</v>
          </cell>
          <cell r="T73">
            <v>0</v>
          </cell>
          <cell r="U73">
            <v>0</v>
          </cell>
          <cell r="V73">
            <v>-793.44</v>
          </cell>
          <cell r="W73">
            <v>0</v>
          </cell>
          <cell r="X73">
            <v>0</v>
          </cell>
          <cell r="Y73">
            <v>0</v>
          </cell>
          <cell r="Z73">
            <v>0</v>
          </cell>
          <cell r="AA73">
            <v>0</v>
          </cell>
          <cell r="AB73">
            <v>6107</v>
          </cell>
          <cell r="AC73">
            <v>0</v>
          </cell>
          <cell r="AD73">
            <v>0</v>
          </cell>
          <cell r="AE73">
            <v>0</v>
          </cell>
          <cell r="AF73">
            <v>0</v>
          </cell>
        </row>
        <row r="74">
          <cell r="A74">
            <v>1500016</v>
          </cell>
          <cell r="H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6107</v>
          </cell>
          <cell r="AC74">
            <v>0</v>
          </cell>
          <cell r="AD74">
            <v>0</v>
          </cell>
          <cell r="AE74">
            <v>0</v>
          </cell>
          <cell r="AF74">
            <v>0</v>
          </cell>
        </row>
        <row r="75">
          <cell r="A75">
            <v>1500016</v>
          </cell>
          <cell r="H75">
            <v>6107</v>
          </cell>
          <cell r="J75">
            <v>6107</v>
          </cell>
          <cell r="K75">
            <v>0</v>
          </cell>
          <cell r="L75">
            <v>0</v>
          </cell>
          <cell r="M75">
            <v>-793.44</v>
          </cell>
          <cell r="N75">
            <v>0</v>
          </cell>
          <cell r="O75">
            <v>0</v>
          </cell>
          <cell r="P75">
            <v>0</v>
          </cell>
          <cell r="Q75">
            <v>0</v>
          </cell>
          <cell r="R75">
            <v>0</v>
          </cell>
          <cell r="S75">
            <v>0</v>
          </cell>
          <cell r="T75">
            <v>0</v>
          </cell>
          <cell r="U75">
            <v>0</v>
          </cell>
          <cell r="V75">
            <v>-961.75</v>
          </cell>
          <cell r="W75">
            <v>0</v>
          </cell>
          <cell r="X75">
            <v>0</v>
          </cell>
          <cell r="Y75">
            <v>0</v>
          </cell>
          <cell r="Z75">
            <v>0</v>
          </cell>
          <cell r="AA75">
            <v>0</v>
          </cell>
          <cell r="AB75">
            <v>0</v>
          </cell>
          <cell r="AC75">
            <v>0</v>
          </cell>
          <cell r="AD75">
            <v>0</v>
          </cell>
          <cell r="AE75">
            <v>0</v>
          </cell>
          <cell r="AF75">
            <v>0</v>
          </cell>
        </row>
        <row r="76">
          <cell r="A76">
            <v>1500016</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v>1500017</v>
          </cell>
          <cell r="B77" t="str">
            <v>1500017</v>
          </cell>
          <cell r="C77" t="str">
            <v>0</v>
          </cell>
          <cell r="D77" t="str">
            <v>15000</v>
          </cell>
          <cell r="E77" t="str">
            <v>G3PREMAL</v>
          </cell>
          <cell r="F77" t="str">
            <v/>
          </cell>
          <cell r="G77" t="str">
            <v>PARTITIONS</v>
          </cell>
          <cell r="H77">
            <v>0</v>
          </cell>
          <cell r="K77">
            <v>0</v>
          </cell>
          <cell r="L77">
            <v>0</v>
          </cell>
          <cell r="M77">
            <v>0</v>
          </cell>
          <cell r="N77">
            <v>0</v>
          </cell>
          <cell r="O77">
            <v>0</v>
          </cell>
          <cell r="P77">
            <v>0</v>
          </cell>
          <cell r="Q77">
            <v>0</v>
          </cell>
          <cell r="R77">
            <v>0</v>
          </cell>
          <cell r="S77">
            <v>0</v>
          </cell>
          <cell r="T77">
            <v>0</v>
          </cell>
          <cell r="U77">
            <v>0</v>
          </cell>
          <cell r="V77">
            <v>-63242.25</v>
          </cell>
          <cell r="W77">
            <v>0</v>
          </cell>
          <cell r="X77">
            <v>0</v>
          </cell>
          <cell r="Y77">
            <v>0</v>
          </cell>
          <cell r="Z77">
            <v>0</v>
          </cell>
          <cell r="AA77">
            <v>0</v>
          </cell>
          <cell r="AB77">
            <v>486766</v>
          </cell>
          <cell r="AC77">
            <v>0</v>
          </cell>
          <cell r="AD77">
            <v>0</v>
          </cell>
          <cell r="AE77">
            <v>0</v>
          </cell>
          <cell r="AF77">
            <v>0</v>
          </cell>
        </row>
        <row r="78">
          <cell r="A78">
            <v>1500017</v>
          </cell>
          <cell r="H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486766</v>
          </cell>
          <cell r="AC78">
            <v>0</v>
          </cell>
          <cell r="AD78">
            <v>0</v>
          </cell>
          <cell r="AE78">
            <v>0</v>
          </cell>
          <cell r="AF78">
            <v>0</v>
          </cell>
        </row>
        <row r="79">
          <cell r="A79">
            <v>1500017</v>
          </cell>
          <cell r="H79">
            <v>486766</v>
          </cell>
          <cell r="J79">
            <v>486766</v>
          </cell>
          <cell r="K79">
            <v>0</v>
          </cell>
          <cell r="L79">
            <v>0</v>
          </cell>
          <cell r="M79">
            <v>-63242.25</v>
          </cell>
          <cell r="N79">
            <v>0</v>
          </cell>
          <cell r="O79">
            <v>0</v>
          </cell>
          <cell r="P79">
            <v>0</v>
          </cell>
          <cell r="Q79">
            <v>0</v>
          </cell>
          <cell r="R79">
            <v>0</v>
          </cell>
          <cell r="S79">
            <v>0</v>
          </cell>
          <cell r="T79">
            <v>0</v>
          </cell>
          <cell r="U79">
            <v>0</v>
          </cell>
          <cell r="V79">
            <v>-76657.8</v>
          </cell>
          <cell r="W79">
            <v>0</v>
          </cell>
          <cell r="X79">
            <v>0</v>
          </cell>
          <cell r="Y79">
            <v>0</v>
          </cell>
          <cell r="Z79">
            <v>0</v>
          </cell>
          <cell r="AA79">
            <v>0</v>
          </cell>
          <cell r="AB79">
            <v>0</v>
          </cell>
          <cell r="AC79">
            <v>0</v>
          </cell>
          <cell r="AD79">
            <v>0</v>
          </cell>
          <cell r="AE79">
            <v>0</v>
          </cell>
          <cell r="AF79">
            <v>0</v>
          </cell>
        </row>
        <row r="80">
          <cell r="A80">
            <v>1500017</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row>
        <row r="81">
          <cell r="A81">
            <v>1500018</v>
          </cell>
          <cell r="B81" t="str">
            <v>1500018</v>
          </cell>
          <cell r="C81" t="str">
            <v>0</v>
          </cell>
          <cell r="D81" t="str">
            <v>15000</v>
          </cell>
          <cell r="E81" t="str">
            <v>G3PREMAL</v>
          </cell>
          <cell r="F81" t="str">
            <v/>
          </cell>
          <cell r="G81" t="str">
            <v>STORAGES</v>
          </cell>
          <cell r="H81">
            <v>0</v>
          </cell>
          <cell r="K81">
            <v>0</v>
          </cell>
          <cell r="L81">
            <v>0</v>
          </cell>
          <cell r="M81">
            <v>0</v>
          </cell>
          <cell r="N81">
            <v>0</v>
          </cell>
          <cell r="O81">
            <v>0</v>
          </cell>
          <cell r="P81">
            <v>0</v>
          </cell>
          <cell r="Q81">
            <v>0</v>
          </cell>
          <cell r="R81">
            <v>0</v>
          </cell>
          <cell r="S81">
            <v>0</v>
          </cell>
          <cell r="T81">
            <v>0</v>
          </cell>
          <cell r="U81">
            <v>0</v>
          </cell>
          <cell r="V81">
            <v>-26698.080000000002</v>
          </cell>
          <cell r="W81">
            <v>0</v>
          </cell>
          <cell r="X81">
            <v>0</v>
          </cell>
          <cell r="Y81">
            <v>0</v>
          </cell>
          <cell r="Z81">
            <v>0</v>
          </cell>
          <cell r="AA81">
            <v>0</v>
          </cell>
          <cell r="AB81">
            <v>205491</v>
          </cell>
          <cell r="AC81">
            <v>0</v>
          </cell>
          <cell r="AD81">
            <v>0</v>
          </cell>
          <cell r="AE81">
            <v>0</v>
          </cell>
          <cell r="AF81">
            <v>0</v>
          </cell>
        </row>
        <row r="82">
          <cell r="A82">
            <v>1500018</v>
          </cell>
          <cell r="H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205491</v>
          </cell>
          <cell r="AC82">
            <v>0</v>
          </cell>
          <cell r="AD82">
            <v>0</v>
          </cell>
          <cell r="AE82">
            <v>0</v>
          </cell>
          <cell r="AF82">
            <v>0</v>
          </cell>
        </row>
        <row r="83">
          <cell r="A83">
            <v>1500018</v>
          </cell>
          <cell r="H83">
            <v>205491</v>
          </cell>
          <cell r="J83">
            <v>205491</v>
          </cell>
          <cell r="K83">
            <v>0</v>
          </cell>
          <cell r="L83">
            <v>0</v>
          </cell>
          <cell r="M83">
            <v>-26698.080000000002</v>
          </cell>
          <cell r="N83">
            <v>0</v>
          </cell>
          <cell r="O83">
            <v>0</v>
          </cell>
          <cell r="P83">
            <v>0</v>
          </cell>
          <cell r="Q83">
            <v>0</v>
          </cell>
          <cell r="R83">
            <v>0</v>
          </cell>
          <cell r="S83">
            <v>0</v>
          </cell>
          <cell r="T83">
            <v>0</v>
          </cell>
          <cell r="U83">
            <v>0</v>
          </cell>
          <cell r="V83">
            <v>-32361.52</v>
          </cell>
          <cell r="W83">
            <v>0</v>
          </cell>
          <cell r="X83">
            <v>0</v>
          </cell>
          <cell r="Y83">
            <v>0</v>
          </cell>
          <cell r="Z83">
            <v>0</v>
          </cell>
          <cell r="AA83">
            <v>0</v>
          </cell>
          <cell r="AB83">
            <v>0</v>
          </cell>
          <cell r="AC83">
            <v>0</v>
          </cell>
          <cell r="AD83">
            <v>0</v>
          </cell>
          <cell r="AE83">
            <v>0</v>
          </cell>
          <cell r="AF83">
            <v>0</v>
          </cell>
        </row>
        <row r="84">
          <cell r="A84">
            <v>1500018</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row>
        <row r="85">
          <cell r="A85">
            <v>1500019</v>
          </cell>
          <cell r="B85" t="str">
            <v>1500019</v>
          </cell>
          <cell r="C85" t="str">
            <v>0</v>
          </cell>
          <cell r="D85" t="str">
            <v>15000</v>
          </cell>
          <cell r="E85" t="str">
            <v>G3PREMAL</v>
          </cell>
          <cell r="F85" t="str">
            <v/>
          </cell>
          <cell r="G85" t="str">
            <v>COMPACTOR</v>
          </cell>
          <cell r="H85">
            <v>0</v>
          </cell>
          <cell r="K85">
            <v>0</v>
          </cell>
          <cell r="L85">
            <v>0</v>
          </cell>
          <cell r="M85">
            <v>0</v>
          </cell>
          <cell r="N85">
            <v>0</v>
          </cell>
          <cell r="O85">
            <v>0</v>
          </cell>
          <cell r="P85">
            <v>0</v>
          </cell>
          <cell r="Q85">
            <v>0</v>
          </cell>
          <cell r="R85">
            <v>0</v>
          </cell>
          <cell r="S85">
            <v>0</v>
          </cell>
          <cell r="T85">
            <v>0</v>
          </cell>
          <cell r="U85">
            <v>0</v>
          </cell>
          <cell r="V85">
            <v>-20366.52</v>
          </cell>
          <cell r="W85">
            <v>0</v>
          </cell>
          <cell r="X85">
            <v>0</v>
          </cell>
          <cell r="Y85">
            <v>0</v>
          </cell>
          <cell r="Z85">
            <v>0</v>
          </cell>
          <cell r="AA85">
            <v>0</v>
          </cell>
          <cell r="AB85">
            <v>156758</v>
          </cell>
          <cell r="AC85">
            <v>0</v>
          </cell>
          <cell r="AD85">
            <v>0</v>
          </cell>
          <cell r="AE85">
            <v>0</v>
          </cell>
          <cell r="AF85">
            <v>0</v>
          </cell>
        </row>
        <row r="86">
          <cell r="A86">
            <v>1500019</v>
          </cell>
          <cell r="H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156758</v>
          </cell>
          <cell r="AC86">
            <v>0</v>
          </cell>
          <cell r="AD86">
            <v>0</v>
          </cell>
          <cell r="AE86">
            <v>0</v>
          </cell>
          <cell r="AF86">
            <v>0</v>
          </cell>
        </row>
        <row r="87">
          <cell r="A87">
            <v>1500019</v>
          </cell>
          <cell r="H87">
            <v>156758</v>
          </cell>
          <cell r="J87">
            <v>156758</v>
          </cell>
          <cell r="K87">
            <v>0</v>
          </cell>
          <cell r="L87">
            <v>0</v>
          </cell>
          <cell r="M87">
            <v>-20366.52</v>
          </cell>
          <cell r="N87">
            <v>0</v>
          </cell>
          <cell r="O87">
            <v>0</v>
          </cell>
          <cell r="P87">
            <v>0</v>
          </cell>
          <cell r="Q87">
            <v>0</v>
          </cell>
          <cell r="R87">
            <v>0</v>
          </cell>
          <cell r="S87">
            <v>0</v>
          </cell>
          <cell r="T87">
            <v>0</v>
          </cell>
          <cell r="U87">
            <v>0</v>
          </cell>
          <cell r="V87">
            <v>-24686.86</v>
          </cell>
          <cell r="W87">
            <v>0</v>
          </cell>
          <cell r="X87">
            <v>0</v>
          </cell>
          <cell r="Y87">
            <v>0</v>
          </cell>
          <cell r="Z87">
            <v>0</v>
          </cell>
          <cell r="AA87">
            <v>0</v>
          </cell>
          <cell r="AB87">
            <v>0</v>
          </cell>
          <cell r="AC87">
            <v>0</v>
          </cell>
          <cell r="AD87">
            <v>0</v>
          </cell>
          <cell r="AE87">
            <v>0</v>
          </cell>
          <cell r="AF87">
            <v>0</v>
          </cell>
        </row>
        <row r="88">
          <cell r="A88">
            <v>1500019</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row>
        <row r="89">
          <cell r="A89">
            <v>1500020</v>
          </cell>
          <cell r="B89" t="str">
            <v>1500020</v>
          </cell>
          <cell r="C89" t="str">
            <v>0</v>
          </cell>
          <cell r="D89" t="str">
            <v>15000</v>
          </cell>
          <cell r="E89" t="str">
            <v>G3PREMAL</v>
          </cell>
          <cell r="F89" t="str">
            <v/>
          </cell>
          <cell r="G89" t="str">
            <v>MAIN ENTERANCE DOOR</v>
          </cell>
          <cell r="H89">
            <v>0</v>
          </cell>
          <cell r="K89">
            <v>0</v>
          </cell>
          <cell r="L89">
            <v>0</v>
          </cell>
          <cell r="M89">
            <v>0</v>
          </cell>
          <cell r="N89">
            <v>0</v>
          </cell>
          <cell r="O89">
            <v>0</v>
          </cell>
          <cell r="P89">
            <v>0</v>
          </cell>
          <cell r="Q89">
            <v>0</v>
          </cell>
          <cell r="R89">
            <v>0</v>
          </cell>
          <cell r="S89">
            <v>0</v>
          </cell>
          <cell r="T89">
            <v>0</v>
          </cell>
          <cell r="U89">
            <v>0</v>
          </cell>
          <cell r="V89">
            <v>-7009.23</v>
          </cell>
          <cell r="W89">
            <v>0</v>
          </cell>
          <cell r="X89">
            <v>0</v>
          </cell>
          <cell r="Y89">
            <v>0</v>
          </cell>
          <cell r="Z89">
            <v>0</v>
          </cell>
          <cell r="AA89">
            <v>0</v>
          </cell>
          <cell r="AB89">
            <v>53949</v>
          </cell>
          <cell r="AC89">
            <v>0</v>
          </cell>
          <cell r="AD89">
            <v>0</v>
          </cell>
          <cell r="AE89">
            <v>0</v>
          </cell>
          <cell r="AF89">
            <v>0</v>
          </cell>
        </row>
        <row r="90">
          <cell r="A90">
            <v>1500020</v>
          </cell>
          <cell r="H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53949</v>
          </cell>
          <cell r="AC90">
            <v>0</v>
          </cell>
          <cell r="AD90">
            <v>0</v>
          </cell>
          <cell r="AE90">
            <v>0</v>
          </cell>
          <cell r="AF90">
            <v>0</v>
          </cell>
        </row>
        <row r="91">
          <cell r="A91">
            <v>1500020</v>
          </cell>
          <cell r="H91">
            <v>53949</v>
          </cell>
          <cell r="J91">
            <v>53949</v>
          </cell>
          <cell r="K91">
            <v>0</v>
          </cell>
          <cell r="L91">
            <v>0</v>
          </cell>
          <cell r="M91">
            <v>-7009.23</v>
          </cell>
          <cell r="N91">
            <v>0</v>
          </cell>
          <cell r="O91">
            <v>0</v>
          </cell>
          <cell r="P91">
            <v>0</v>
          </cell>
          <cell r="Q91">
            <v>0</v>
          </cell>
          <cell r="R91">
            <v>0</v>
          </cell>
          <cell r="S91">
            <v>0</v>
          </cell>
          <cell r="T91">
            <v>0</v>
          </cell>
          <cell r="U91">
            <v>0</v>
          </cell>
          <cell r="V91">
            <v>-8496.1</v>
          </cell>
          <cell r="W91">
            <v>0</v>
          </cell>
          <cell r="X91">
            <v>0</v>
          </cell>
          <cell r="Y91">
            <v>0</v>
          </cell>
          <cell r="Z91">
            <v>0</v>
          </cell>
          <cell r="AA91">
            <v>0</v>
          </cell>
          <cell r="AB91">
            <v>0</v>
          </cell>
          <cell r="AC91">
            <v>0</v>
          </cell>
          <cell r="AD91">
            <v>0</v>
          </cell>
          <cell r="AE91">
            <v>0</v>
          </cell>
          <cell r="AF91">
            <v>0</v>
          </cell>
        </row>
        <row r="92">
          <cell r="A92">
            <v>1500020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A93">
            <v>1500021</v>
          </cell>
          <cell r="B93" t="str">
            <v>1500021</v>
          </cell>
          <cell r="C93" t="str">
            <v>0</v>
          </cell>
          <cell r="D93" t="str">
            <v>15000</v>
          </cell>
          <cell r="E93" t="str">
            <v>G3PREMAL</v>
          </cell>
          <cell r="F93" t="str">
            <v>G3PREMAL</v>
          </cell>
          <cell r="G93" t="str">
            <v>PANTRY</v>
          </cell>
          <cell r="H93">
            <v>0</v>
          </cell>
          <cell r="K93">
            <v>0</v>
          </cell>
          <cell r="L93">
            <v>0</v>
          </cell>
          <cell r="M93">
            <v>0</v>
          </cell>
          <cell r="N93">
            <v>0</v>
          </cell>
          <cell r="O93">
            <v>0</v>
          </cell>
          <cell r="P93">
            <v>0</v>
          </cell>
          <cell r="Q93">
            <v>0</v>
          </cell>
          <cell r="R93">
            <v>0</v>
          </cell>
          <cell r="S93">
            <v>0</v>
          </cell>
          <cell r="T93">
            <v>0</v>
          </cell>
          <cell r="U93">
            <v>0</v>
          </cell>
          <cell r="V93">
            <v>-9604.7099999999991</v>
          </cell>
          <cell r="W93">
            <v>0</v>
          </cell>
          <cell r="X93">
            <v>0</v>
          </cell>
          <cell r="Y93">
            <v>0</v>
          </cell>
          <cell r="Z93">
            <v>0</v>
          </cell>
          <cell r="AA93">
            <v>0</v>
          </cell>
          <cell r="AB93">
            <v>73926</v>
          </cell>
          <cell r="AC93">
            <v>0</v>
          </cell>
          <cell r="AD93">
            <v>0</v>
          </cell>
          <cell r="AE93">
            <v>0</v>
          </cell>
          <cell r="AF93">
            <v>0</v>
          </cell>
        </row>
        <row r="94">
          <cell r="A94">
            <v>1500021</v>
          </cell>
          <cell r="H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73926</v>
          </cell>
          <cell r="AC94">
            <v>0</v>
          </cell>
          <cell r="AD94">
            <v>0</v>
          </cell>
          <cell r="AE94">
            <v>0</v>
          </cell>
          <cell r="AF94">
            <v>0</v>
          </cell>
        </row>
        <row r="95">
          <cell r="A95">
            <v>1500021</v>
          </cell>
          <cell r="H95">
            <v>73926</v>
          </cell>
          <cell r="J95">
            <v>73926</v>
          </cell>
          <cell r="K95">
            <v>0</v>
          </cell>
          <cell r="L95">
            <v>0</v>
          </cell>
          <cell r="M95">
            <v>-9604.7099999999991</v>
          </cell>
          <cell r="N95">
            <v>0</v>
          </cell>
          <cell r="O95">
            <v>0</v>
          </cell>
          <cell r="P95">
            <v>0</v>
          </cell>
          <cell r="Q95">
            <v>0</v>
          </cell>
          <cell r="R95">
            <v>0</v>
          </cell>
          <cell r="S95">
            <v>0</v>
          </cell>
          <cell r="T95">
            <v>0</v>
          </cell>
          <cell r="U95">
            <v>0</v>
          </cell>
          <cell r="V95">
            <v>-11642.15</v>
          </cell>
          <cell r="W95">
            <v>0</v>
          </cell>
          <cell r="X95">
            <v>0</v>
          </cell>
          <cell r="Y95">
            <v>0</v>
          </cell>
          <cell r="Z95">
            <v>0</v>
          </cell>
          <cell r="AA95">
            <v>0</v>
          </cell>
          <cell r="AB95">
            <v>0</v>
          </cell>
          <cell r="AC95">
            <v>0</v>
          </cell>
          <cell r="AD95">
            <v>0</v>
          </cell>
          <cell r="AE95">
            <v>0</v>
          </cell>
          <cell r="AF95">
            <v>0</v>
          </cell>
        </row>
        <row r="96">
          <cell r="A96">
            <v>1500021</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7">
          <cell r="A97">
            <v>1500022</v>
          </cell>
          <cell r="B97" t="str">
            <v>1500022</v>
          </cell>
          <cell r="C97" t="str">
            <v>0</v>
          </cell>
          <cell r="D97" t="str">
            <v>15000</v>
          </cell>
          <cell r="E97" t="str">
            <v>G3PREMAL</v>
          </cell>
          <cell r="F97" t="str">
            <v/>
          </cell>
          <cell r="G97" t="str">
            <v>FALSE CEILING</v>
          </cell>
          <cell r="H97">
            <v>0</v>
          </cell>
          <cell r="K97">
            <v>0</v>
          </cell>
          <cell r="L97">
            <v>0</v>
          </cell>
          <cell r="M97">
            <v>0</v>
          </cell>
          <cell r="N97">
            <v>0</v>
          </cell>
          <cell r="O97">
            <v>0</v>
          </cell>
          <cell r="P97">
            <v>0</v>
          </cell>
          <cell r="Q97">
            <v>0</v>
          </cell>
          <cell r="R97">
            <v>0</v>
          </cell>
          <cell r="S97">
            <v>0</v>
          </cell>
          <cell r="T97">
            <v>0</v>
          </cell>
          <cell r="U97">
            <v>0</v>
          </cell>
          <cell r="V97">
            <v>-18488.61</v>
          </cell>
          <cell r="W97">
            <v>0</v>
          </cell>
          <cell r="X97">
            <v>0</v>
          </cell>
          <cell r="Y97">
            <v>0</v>
          </cell>
          <cell r="Z97">
            <v>0</v>
          </cell>
          <cell r="AA97">
            <v>0</v>
          </cell>
          <cell r="AB97">
            <v>142304</v>
          </cell>
          <cell r="AC97">
            <v>0</v>
          </cell>
          <cell r="AD97">
            <v>0</v>
          </cell>
          <cell r="AE97">
            <v>0</v>
          </cell>
          <cell r="AF97">
            <v>0</v>
          </cell>
        </row>
        <row r="98">
          <cell r="A98">
            <v>1500022</v>
          </cell>
          <cell r="H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142304</v>
          </cell>
          <cell r="AC98">
            <v>0</v>
          </cell>
          <cell r="AD98">
            <v>0</v>
          </cell>
          <cell r="AE98">
            <v>0</v>
          </cell>
          <cell r="AF98">
            <v>0</v>
          </cell>
        </row>
        <row r="99">
          <cell r="A99">
            <v>1500022</v>
          </cell>
          <cell r="H99">
            <v>142304</v>
          </cell>
          <cell r="J99">
            <v>142304</v>
          </cell>
          <cell r="K99">
            <v>0</v>
          </cell>
          <cell r="L99">
            <v>0</v>
          </cell>
          <cell r="M99">
            <v>-18488.61</v>
          </cell>
          <cell r="N99">
            <v>0</v>
          </cell>
          <cell r="O99">
            <v>0</v>
          </cell>
          <cell r="P99">
            <v>0</v>
          </cell>
          <cell r="Q99">
            <v>0</v>
          </cell>
          <cell r="R99">
            <v>0</v>
          </cell>
          <cell r="S99">
            <v>0</v>
          </cell>
          <cell r="T99">
            <v>0</v>
          </cell>
          <cell r="U99">
            <v>0</v>
          </cell>
          <cell r="V99">
            <v>-22410.59</v>
          </cell>
          <cell r="W99">
            <v>0</v>
          </cell>
          <cell r="X99">
            <v>0</v>
          </cell>
          <cell r="Y99">
            <v>0</v>
          </cell>
          <cell r="Z99">
            <v>0</v>
          </cell>
          <cell r="AA99">
            <v>0</v>
          </cell>
          <cell r="AB99">
            <v>0</v>
          </cell>
          <cell r="AC99">
            <v>0</v>
          </cell>
          <cell r="AD99">
            <v>0</v>
          </cell>
          <cell r="AE99">
            <v>0</v>
          </cell>
          <cell r="AF99">
            <v>0</v>
          </cell>
        </row>
        <row r="100">
          <cell r="A100">
            <v>1500022</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row>
        <row r="101">
          <cell r="A101">
            <v>1500023</v>
          </cell>
          <cell r="B101" t="str">
            <v>1500023</v>
          </cell>
          <cell r="C101" t="str">
            <v>0</v>
          </cell>
          <cell r="D101" t="str">
            <v>15000</v>
          </cell>
          <cell r="E101" t="str">
            <v>G3PREMAL</v>
          </cell>
          <cell r="F101" t="str">
            <v>G3PREMAL</v>
          </cell>
          <cell r="G101" t="str">
            <v>OVEHEAD UNITS</v>
          </cell>
          <cell r="H101">
            <v>0</v>
          </cell>
          <cell r="K101">
            <v>0</v>
          </cell>
          <cell r="L101">
            <v>0</v>
          </cell>
          <cell r="M101">
            <v>0</v>
          </cell>
          <cell r="N101">
            <v>0</v>
          </cell>
          <cell r="O101">
            <v>0</v>
          </cell>
          <cell r="P101">
            <v>0</v>
          </cell>
          <cell r="Q101">
            <v>0</v>
          </cell>
          <cell r="R101">
            <v>0</v>
          </cell>
          <cell r="S101">
            <v>0</v>
          </cell>
          <cell r="T101">
            <v>0</v>
          </cell>
          <cell r="U101">
            <v>0</v>
          </cell>
          <cell r="V101">
            <v>-3385.68</v>
          </cell>
          <cell r="W101">
            <v>0</v>
          </cell>
          <cell r="X101">
            <v>0</v>
          </cell>
          <cell r="Y101">
            <v>0</v>
          </cell>
          <cell r="Z101">
            <v>0</v>
          </cell>
          <cell r="AA101">
            <v>0</v>
          </cell>
          <cell r="AB101">
            <v>26059</v>
          </cell>
          <cell r="AC101">
            <v>0</v>
          </cell>
          <cell r="AD101">
            <v>0</v>
          </cell>
          <cell r="AE101">
            <v>0</v>
          </cell>
          <cell r="AF101">
            <v>0</v>
          </cell>
        </row>
        <row r="102">
          <cell r="A102">
            <v>1500023</v>
          </cell>
          <cell r="H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26059</v>
          </cell>
          <cell r="AC102">
            <v>0</v>
          </cell>
          <cell r="AD102">
            <v>0</v>
          </cell>
          <cell r="AE102">
            <v>0</v>
          </cell>
          <cell r="AF102">
            <v>0</v>
          </cell>
        </row>
        <row r="103">
          <cell r="A103">
            <v>1500023</v>
          </cell>
          <cell r="H103">
            <v>26059</v>
          </cell>
          <cell r="J103">
            <v>26059</v>
          </cell>
          <cell r="K103">
            <v>0</v>
          </cell>
          <cell r="L103">
            <v>0</v>
          </cell>
          <cell r="M103">
            <v>-3385.68</v>
          </cell>
          <cell r="N103">
            <v>0</v>
          </cell>
          <cell r="O103">
            <v>0</v>
          </cell>
          <cell r="P103">
            <v>0</v>
          </cell>
          <cell r="Q103">
            <v>0</v>
          </cell>
          <cell r="R103">
            <v>0</v>
          </cell>
          <cell r="S103">
            <v>0</v>
          </cell>
          <cell r="T103">
            <v>0</v>
          </cell>
          <cell r="U103">
            <v>0</v>
          </cell>
          <cell r="V103">
            <v>-4103.87</v>
          </cell>
          <cell r="W103">
            <v>0</v>
          </cell>
          <cell r="X103">
            <v>0</v>
          </cell>
          <cell r="Y103">
            <v>0</v>
          </cell>
          <cell r="Z103">
            <v>0</v>
          </cell>
          <cell r="AA103">
            <v>0</v>
          </cell>
          <cell r="AB103">
            <v>0</v>
          </cell>
          <cell r="AC103">
            <v>0</v>
          </cell>
          <cell r="AD103">
            <v>0</v>
          </cell>
          <cell r="AE103">
            <v>0</v>
          </cell>
          <cell r="AF103">
            <v>0</v>
          </cell>
        </row>
        <row r="104">
          <cell r="A104">
            <v>1500023</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row>
        <row r="105">
          <cell r="A105">
            <v>1500024</v>
          </cell>
          <cell r="B105" t="str">
            <v>1500024</v>
          </cell>
          <cell r="C105" t="str">
            <v>0</v>
          </cell>
          <cell r="D105" t="str">
            <v>15000</v>
          </cell>
          <cell r="E105" t="str">
            <v>G3PREMAL</v>
          </cell>
          <cell r="F105" t="str">
            <v>G3PREMAL</v>
          </cell>
          <cell r="G105" t="str">
            <v>FLUSH DOORS</v>
          </cell>
          <cell r="H105">
            <v>0</v>
          </cell>
          <cell r="K105">
            <v>0</v>
          </cell>
          <cell r="L105">
            <v>0</v>
          </cell>
          <cell r="M105">
            <v>0</v>
          </cell>
          <cell r="N105">
            <v>0</v>
          </cell>
          <cell r="O105">
            <v>0</v>
          </cell>
          <cell r="P105">
            <v>0</v>
          </cell>
          <cell r="Q105">
            <v>0</v>
          </cell>
          <cell r="R105">
            <v>0</v>
          </cell>
          <cell r="S105">
            <v>0</v>
          </cell>
          <cell r="T105">
            <v>0</v>
          </cell>
          <cell r="U105">
            <v>0</v>
          </cell>
          <cell r="V105">
            <v>-2168.9299999999998</v>
          </cell>
          <cell r="W105">
            <v>0</v>
          </cell>
          <cell r="X105">
            <v>0</v>
          </cell>
          <cell r="Y105">
            <v>0</v>
          </cell>
          <cell r="Z105">
            <v>0</v>
          </cell>
          <cell r="AA105">
            <v>0</v>
          </cell>
          <cell r="AB105">
            <v>16694</v>
          </cell>
          <cell r="AC105">
            <v>0</v>
          </cell>
          <cell r="AD105">
            <v>0</v>
          </cell>
          <cell r="AE105">
            <v>0</v>
          </cell>
          <cell r="AF105">
            <v>0</v>
          </cell>
        </row>
        <row r="106">
          <cell r="A106">
            <v>1500024</v>
          </cell>
          <cell r="H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16694</v>
          </cell>
          <cell r="AC106">
            <v>0</v>
          </cell>
          <cell r="AD106">
            <v>0</v>
          </cell>
          <cell r="AE106">
            <v>0</v>
          </cell>
          <cell r="AF106">
            <v>0</v>
          </cell>
        </row>
        <row r="107">
          <cell r="A107">
            <v>1500024</v>
          </cell>
          <cell r="H107">
            <v>16694</v>
          </cell>
          <cell r="J107">
            <v>16694</v>
          </cell>
          <cell r="K107">
            <v>0</v>
          </cell>
          <cell r="L107">
            <v>0</v>
          </cell>
          <cell r="M107">
            <v>-2168.9299999999998</v>
          </cell>
          <cell r="N107">
            <v>0</v>
          </cell>
          <cell r="O107">
            <v>0</v>
          </cell>
          <cell r="P107">
            <v>0</v>
          </cell>
          <cell r="Q107">
            <v>0</v>
          </cell>
          <cell r="R107">
            <v>0</v>
          </cell>
          <cell r="S107">
            <v>0</v>
          </cell>
          <cell r="T107">
            <v>0</v>
          </cell>
          <cell r="U107">
            <v>0</v>
          </cell>
          <cell r="V107">
            <v>-2629.04</v>
          </cell>
          <cell r="W107">
            <v>0</v>
          </cell>
          <cell r="X107">
            <v>0</v>
          </cell>
          <cell r="Y107">
            <v>0</v>
          </cell>
          <cell r="Z107">
            <v>0</v>
          </cell>
          <cell r="AA107">
            <v>0</v>
          </cell>
          <cell r="AB107">
            <v>0</v>
          </cell>
          <cell r="AC107">
            <v>0</v>
          </cell>
          <cell r="AD107">
            <v>0</v>
          </cell>
          <cell r="AE107">
            <v>0</v>
          </cell>
          <cell r="AF107">
            <v>0</v>
          </cell>
        </row>
        <row r="108">
          <cell r="A108">
            <v>1500024</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row>
        <row r="109">
          <cell r="A109">
            <v>1500025</v>
          </cell>
          <cell r="B109" t="str">
            <v>1500025</v>
          </cell>
          <cell r="C109" t="str">
            <v>0</v>
          </cell>
          <cell r="D109" t="str">
            <v>15000</v>
          </cell>
          <cell r="E109" t="str">
            <v>G3PREMAL</v>
          </cell>
          <cell r="F109" t="str">
            <v>G3PREMAL</v>
          </cell>
          <cell r="G109" t="str">
            <v>CABIN DOOR</v>
          </cell>
          <cell r="H109">
            <v>0</v>
          </cell>
          <cell r="K109">
            <v>0</v>
          </cell>
          <cell r="L109">
            <v>0</v>
          </cell>
          <cell r="M109">
            <v>0</v>
          </cell>
          <cell r="N109">
            <v>0</v>
          </cell>
          <cell r="O109">
            <v>0</v>
          </cell>
          <cell r="P109">
            <v>0</v>
          </cell>
          <cell r="Q109">
            <v>0</v>
          </cell>
          <cell r="R109">
            <v>0</v>
          </cell>
          <cell r="S109">
            <v>0</v>
          </cell>
          <cell r="T109">
            <v>0</v>
          </cell>
          <cell r="U109">
            <v>0</v>
          </cell>
          <cell r="V109">
            <v>-3570.81</v>
          </cell>
          <cell r="W109">
            <v>0</v>
          </cell>
          <cell r="X109">
            <v>0</v>
          </cell>
          <cell r="Y109">
            <v>0</v>
          </cell>
          <cell r="Z109">
            <v>0</v>
          </cell>
          <cell r="AA109">
            <v>0</v>
          </cell>
          <cell r="AB109">
            <v>27484</v>
          </cell>
          <cell r="AC109">
            <v>0</v>
          </cell>
          <cell r="AD109">
            <v>0</v>
          </cell>
          <cell r="AE109">
            <v>0</v>
          </cell>
          <cell r="AF109">
            <v>0</v>
          </cell>
        </row>
        <row r="110">
          <cell r="A110">
            <v>1500025</v>
          </cell>
          <cell r="H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27484</v>
          </cell>
          <cell r="AC110">
            <v>0</v>
          </cell>
          <cell r="AD110">
            <v>0</v>
          </cell>
          <cell r="AE110">
            <v>0</v>
          </cell>
          <cell r="AF110">
            <v>0</v>
          </cell>
        </row>
        <row r="111">
          <cell r="A111">
            <v>1500025</v>
          </cell>
          <cell r="H111">
            <v>27484</v>
          </cell>
          <cell r="J111">
            <v>27484</v>
          </cell>
          <cell r="K111">
            <v>0</v>
          </cell>
          <cell r="L111">
            <v>0</v>
          </cell>
          <cell r="M111">
            <v>-3570.81</v>
          </cell>
          <cell r="N111">
            <v>0</v>
          </cell>
          <cell r="O111">
            <v>0</v>
          </cell>
          <cell r="P111">
            <v>0</v>
          </cell>
          <cell r="Q111">
            <v>0</v>
          </cell>
          <cell r="R111">
            <v>0</v>
          </cell>
          <cell r="S111">
            <v>0</v>
          </cell>
          <cell r="T111">
            <v>0</v>
          </cell>
          <cell r="U111">
            <v>0</v>
          </cell>
          <cell r="V111">
            <v>-4328.29</v>
          </cell>
          <cell r="W111">
            <v>0</v>
          </cell>
          <cell r="X111">
            <v>0</v>
          </cell>
          <cell r="Y111">
            <v>0</v>
          </cell>
          <cell r="Z111">
            <v>0</v>
          </cell>
          <cell r="AA111">
            <v>0</v>
          </cell>
          <cell r="AB111">
            <v>0</v>
          </cell>
          <cell r="AC111">
            <v>0</v>
          </cell>
          <cell r="AD111">
            <v>0</v>
          </cell>
          <cell r="AE111">
            <v>0</v>
          </cell>
          <cell r="AF111">
            <v>0</v>
          </cell>
        </row>
        <row r="112">
          <cell r="A112">
            <v>1500025</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row>
        <row r="113">
          <cell r="A113">
            <v>1500026</v>
          </cell>
          <cell r="B113" t="str">
            <v>1500026</v>
          </cell>
          <cell r="C113" t="str">
            <v>0</v>
          </cell>
          <cell r="D113" t="str">
            <v>15000</v>
          </cell>
          <cell r="E113" t="str">
            <v>G3PREMAL</v>
          </cell>
          <cell r="F113" t="str">
            <v/>
          </cell>
          <cell r="G113" t="str">
            <v>SOFAS</v>
          </cell>
          <cell r="H113">
            <v>0</v>
          </cell>
          <cell r="K113">
            <v>0</v>
          </cell>
          <cell r="L113">
            <v>0</v>
          </cell>
          <cell r="M113">
            <v>0</v>
          </cell>
          <cell r="N113">
            <v>0</v>
          </cell>
          <cell r="O113">
            <v>0</v>
          </cell>
          <cell r="P113">
            <v>0</v>
          </cell>
          <cell r="Q113">
            <v>0</v>
          </cell>
          <cell r="R113">
            <v>0</v>
          </cell>
          <cell r="S113">
            <v>0</v>
          </cell>
          <cell r="T113">
            <v>0</v>
          </cell>
          <cell r="U113">
            <v>0</v>
          </cell>
          <cell r="V113">
            <v>-6771.21</v>
          </cell>
          <cell r="W113">
            <v>0</v>
          </cell>
          <cell r="X113">
            <v>0</v>
          </cell>
          <cell r="Y113">
            <v>0</v>
          </cell>
          <cell r="Z113">
            <v>0</v>
          </cell>
          <cell r="AA113">
            <v>0</v>
          </cell>
          <cell r="AB113">
            <v>52117</v>
          </cell>
          <cell r="AC113">
            <v>0</v>
          </cell>
          <cell r="AD113">
            <v>0</v>
          </cell>
          <cell r="AE113">
            <v>0</v>
          </cell>
          <cell r="AF113">
            <v>0</v>
          </cell>
        </row>
        <row r="114">
          <cell r="A114">
            <v>1500026</v>
          </cell>
          <cell r="H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52117</v>
          </cell>
          <cell r="AC114">
            <v>0</v>
          </cell>
          <cell r="AD114">
            <v>0</v>
          </cell>
          <cell r="AE114">
            <v>0</v>
          </cell>
          <cell r="AF114">
            <v>0</v>
          </cell>
        </row>
        <row r="115">
          <cell r="A115">
            <v>1500026</v>
          </cell>
          <cell r="H115">
            <v>52117</v>
          </cell>
          <cell r="J115">
            <v>52117</v>
          </cell>
          <cell r="K115">
            <v>0</v>
          </cell>
          <cell r="L115">
            <v>0</v>
          </cell>
          <cell r="M115">
            <v>-6771.21</v>
          </cell>
          <cell r="N115">
            <v>0</v>
          </cell>
          <cell r="O115">
            <v>0</v>
          </cell>
          <cell r="P115">
            <v>0</v>
          </cell>
          <cell r="Q115">
            <v>0</v>
          </cell>
          <cell r="R115">
            <v>0</v>
          </cell>
          <cell r="S115">
            <v>0</v>
          </cell>
          <cell r="T115">
            <v>0</v>
          </cell>
          <cell r="U115">
            <v>0</v>
          </cell>
          <cell r="V115">
            <v>-8207.59</v>
          </cell>
          <cell r="W115">
            <v>0</v>
          </cell>
          <cell r="X115">
            <v>0</v>
          </cell>
          <cell r="Y115">
            <v>0</v>
          </cell>
          <cell r="Z115">
            <v>0</v>
          </cell>
          <cell r="AA115">
            <v>0</v>
          </cell>
          <cell r="AB115">
            <v>0</v>
          </cell>
          <cell r="AC115">
            <v>0</v>
          </cell>
          <cell r="AD115">
            <v>0</v>
          </cell>
          <cell r="AE115">
            <v>0</v>
          </cell>
          <cell r="AF115">
            <v>0</v>
          </cell>
        </row>
        <row r="116">
          <cell r="A116">
            <v>1500026</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row>
        <row r="117">
          <cell r="A117">
            <v>1500027</v>
          </cell>
          <cell r="B117" t="str">
            <v>1500027</v>
          </cell>
          <cell r="C117" t="str">
            <v>0</v>
          </cell>
          <cell r="D117" t="str">
            <v>15000</v>
          </cell>
          <cell r="E117" t="str">
            <v>G3PREMAL</v>
          </cell>
          <cell r="F117" t="str">
            <v>G3PREMAL</v>
          </cell>
          <cell r="G117" t="str">
            <v>EXECUTIVE CHAIR (A)</v>
          </cell>
          <cell r="H117">
            <v>0</v>
          </cell>
          <cell r="K117">
            <v>0</v>
          </cell>
          <cell r="L117">
            <v>0</v>
          </cell>
          <cell r="M117">
            <v>0</v>
          </cell>
          <cell r="N117">
            <v>0</v>
          </cell>
          <cell r="O117">
            <v>0</v>
          </cell>
          <cell r="P117">
            <v>0</v>
          </cell>
          <cell r="Q117">
            <v>0</v>
          </cell>
          <cell r="R117">
            <v>0</v>
          </cell>
          <cell r="S117">
            <v>0</v>
          </cell>
          <cell r="T117">
            <v>0</v>
          </cell>
          <cell r="U117">
            <v>0</v>
          </cell>
          <cell r="V117">
            <v>-3703.07</v>
          </cell>
          <cell r="W117">
            <v>0</v>
          </cell>
          <cell r="X117">
            <v>0</v>
          </cell>
          <cell r="Y117">
            <v>0</v>
          </cell>
          <cell r="Z117">
            <v>0</v>
          </cell>
          <cell r="AA117">
            <v>0</v>
          </cell>
          <cell r="AB117">
            <v>28502</v>
          </cell>
          <cell r="AC117">
            <v>0</v>
          </cell>
          <cell r="AD117">
            <v>0</v>
          </cell>
          <cell r="AE117">
            <v>0</v>
          </cell>
          <cell r="AF117">
            <v>0</v>
          </cell>
        </row>
        <row r="118">
          <cell r="A118">
            <v>1500027</v>
          </cell>
          <cell r="H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28502</v>
          </cell>
          <cell r="AC118">
            <v>0</v>
          </cell>
          <cell r="AD118">
            <v>0</v>
          </cell>
          <cell r="AE118">
            <v>0</v>
          </cell>
          <cell r="AF118">
            <v>0</v>
          </cell>
        </row>
        <row r="119">
          <cell r="A119">
            <v>1500027</v>
          </cell>
          <cell r="H119">
            <v>28502</v>
          </cell>
          <cell r="J119">
            <v>28502</v>
          </cell>
          <cell r="K119">
            <v>0</v>
          </cell>
          <cell r="L119">
            <v>0</v>
          </cell>
          <cell r="M119">
            <v>-3703.07</v>
          </cell>
          <cell r="N119">
            <v>0</v>
          </cell>
          <cell r="O119">
            <v>0</v>
          </cell>
          <cell r="P119">
            <v>0</v>
          </cell>
          <cell r="Q119">
            <v>0</v>
          </cell>
          <cell r="R119">
            <v>0</v>
          </cell>
          <cell r="S119">
            <v>0</v>
          </cell>
          <cell r="T119">
            <v>0</v>
          </cell>
          <cell r="U119">
            <v>0</v>
          </cell>
          <cell r="V119">
            <v>-4488.6099999999997</v>
          </cell>
          <cell r="W119">
            <v>0</v>
          </cell>
          <cell r="X119">
            <v>0</v>
          </cell>
          <cell r="Y119">
            <v>0</v>
          </cell>
          <cell r="Z119">
            <v>0</v>
          </cell>
          <cell r="AA119">
            <v>0</v>
          </cell>
          <cell r="AB119">
            <v>0</v>
          </cell>
          <cell r="AC119">
            <v>0</v>
          </cell>
          <cell r="AD119">
            <v>0</v>
          </cell>
          <cell r="AE119">
            <v>0</v>
          </cell>
          <cell r="AF119">
            <v>0</v>
          </cell>
        </row>
        <row r="120">
          <cell r="A120">
            <v>1500027</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row>
        <row r="121">
          <cell r="A121">
            <v>1500028</v>
          </cell>
          <cell r="B121" t="str">
            <v>1500028</v>
          </cell>
          <cell r="C121" t="str">
            <v>0</v>
          </cell>
          <cell r="D121" t="str">
            <v>15000</v>
          </cell>
          <cell r="E121" t="str">
            <v>G3PREMAL</v>
          </cell>
          <cell r="F121" t="str">
            <v>G3PREMAL</v>
          </cell>
          <cell r="G121" t="str">
            <v>EXECUTIVE CHAIR(B)</v>
          </cell>
          <cell r="H121">
            <v>0</v>
          </cell>
          <cell r="K121">
            <v>0</v>
          </cell>
          <cell r="L121">
            <v>0</v>
          </cell>
          <cell r="M121">
            <v>0</v>
          </cell>
          <cell r="N121">
            <v>0</v>
          </cell>
          <cell r="O121">
            <v>0</v>
          </cell>
          <cell r="P121">
            <v>0</v>
          </cell>
          <cell r="Q121">
            <v>0</v>
          </cell>
          <cell r="R121">
            <v>0</v>
          </cell>
          <cell r="S121">
            <v>0</v>
          </cell>
          <cell r="T121">
            <v>0</v>
          </cell>
          <cell r="U121">
            <v>0</v>
          </cell>
          <cell r="V121">
            <v>-3570.81</v>
          </cell>
          <cell r="W121">
            <v>0</v>
          </cell>
          <cell r="X121">
            <v>0</v>
          </cell>
          <cell r="Y121">
            <v>0</v>
          </cell>
          <cell r="Z121">
            <v>0</v>
          </cell>
          <cell r="AA121">
            <v>0</v>
          </cell>
          <cell r="AB121">
            <v>27484</v>
          </cell>
          <cell r="AC121">
            <v>0</v>
          </cell>
          <cell r="AD121">
            <v>0</v>
          </cell>
          <cell r="AE121">
            <v>0</v>
          </cell>
          <cell r="AF121">
            <v>0</v>
          </cell>
        </row>
        <row r="122">
          <cell r="A122">
            <v>1500028</v>
          </cell>
          <cell r="H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27484</v>
          </cell>
          <cell r="AC122">
            <v>0</v>
          </cell>
          <cell r="AD122">
            <v>0</v>
          </cell>
          <cell r="AE122">
            <v>0</v>
          </cell>
          <cell r="AF122">
            <v>0</v>
          </cell>
        </row>
        <row r="123">
          <cell r="A123">
            <v>1500028</v>
          </cell>
          <cell r="H123">
            <v>27484</v>
          </cell>
          <cell r="J123">
            <v>27484</v>
          </cell>
          <cell r="K123">
            <v>0</v>
          </cell>
          <cell r="L123">
            <v>0</v>
          </cell>
          <cell r="M123">
            <v>-3570.81</v>
          </cell>
          <cell r="N123">
            <v>0</v>
          </cell>
          <cell r="O123">
            <v>0</v>
          </cell>
          <cell r="P123">
            <v>0</v>
          </cell>
          <cell r="Q123">
            <v>0</v>
          </cell>
          <cell r="R123">
            <v>0</v>
          </cell>
          <cell r="S123">
            <v>0</v>
          </cell>
          <cell r="T123">
            <v>0</v>
          </cell>
          <cell r="U123">
            <v>0</v>
          </cell>
          <cell r="V123">
            <v>-4328.29</v>
          </cell>
          <cell r="W123">
            <v>0</v>
          </cell>
          <cell r="X123">
            <v>0</v>
          </cell>
          <cell r="Y123">
            <v>0</v>
          </cell>
          <cell r="Z123">
            <v>0</v>
          </cell>
          <cell r="AA123">
            <v>0</v>
          </cell>
          <cell r="AB123">
            <v>0</v>
          </cell>
          <cell r="AC123">
            <v>0</v>
          </cell>
          <cell r="AD123">
            <v>0</v>
          </cell>
          <cell r="AE123">
            <v>0</v>
          </cell>
          <cell r="AF123">
            <v>0</v>
          </cell>
        </row>
        <row r="124">
          <cell r="A124">
            <v>1500028</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row>
        <row r="125">
          <cell r="A125">
            <v>1500029</v>
          </cell>
          <cell r="B125" t="str">
            <v>1500029</v>
          </cell>
          <cell r="C125" t="str">
            <v>0</v>
          </cell>
          <cell r="D125" t="str">
            <v>15000</v>
          </cell>
          <cell r="E125" t="str">
            <v>G3PREMAL</v>
          </cell>
          <cell r="F125" t="str">
            <v>G3PREMAL</v>
          </cell>
          <cell r="G125" t="str">
            <v>CHAIRS</v>
          </cell>
          <cell r="H125">
            <v>0</v>
          </cell>
          <cell r="K125">
            <v>0</v>
          </cell>
          <cell r="L125">
            <v>0</v>
          </cell>
          <cell r="M125">
            <v>0</v>
          </cell>
          <cell r="N125">
            <v>0</v>
          </cell>
          <cell r="O125">
            <v>0</v>
          </cell>
          <cell r="P125">
            <v>0</v>
          </cell>
          <cell r="Q125">
            <v>0</v>
          </cell>
          <cell r="R125">
            <v>0</v>
          </cell>
          <cell r="S125">
            <v>0</v>
          </cell>
          <cell r="T125">
            <v>0</v>
          </cell>
          <cell r="U125">
            <v>0</v>
          </cell>
          <cell r="V125">
            <v>-28169.32</v>
          </cell>
          <cell r="W125">
            <v>0</v>
          </cell>
          <cell r="X125">
            <v>0</v>
          </cell>
          <cell r="Y125">
            <v>0</v>
          </cell>
          <cell r="Z125">
            <v>0</v>
          </cell>
          <cell r="AA125">
            <v>0</v>
          </cell>
          <cell r="AB125">
            <v>216815</v>
          </cell>
          <cell r="AC125">
            <v>0</v>
          </cell>
          <cell r="AD125">
            <v>0</v>
          </cell>
          <cell r="AE125">
            <v>0</v>
          </cell>
          <cell r="AF125">
            <v>0</v>
          </cell>
        </row>
        <row r="126">
          <cell r="A126">
            <v>1500029</v>
          </cell>
          <cell r="H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216815</v>
          </cell>
          <cell r="AC126">
            <v>0</v>
          </cell>
          <cell r="AD126">
            <v>0</v>
          </cell>
          <cell r="AE126">
            <v>0</v>
          </cell>
          <cell r="AF126">
            <v>0</v>
          </cell>
        </row>
        <row r="127">
          <cell r="A127">
            <v>1500029</v>
          </cell>
          <cell r="H127">
            <v>216815</v>
          </cell>
          <cell r="J127">
            <v>216815</v>
          </cell>
          <cell r="K127">
            <v>0</v>
          </cell>
          <cell r="L127">
            <v>0</v>
          </cell>
          <cell r="M127">
            <v>-28169.32</v>
          </cell>
          <cell r="N127">
            <v>0</v>
          </cell>
          <cell r="O127">
            <v>0</v>
          </cell>
          <cell r="P127">
            <v>0</v>
          </cell>
          <cell r="Q127">
            <v>0</v>
          </cell>
          <cell r="R127">
            <v>0</v>
          </cell>
          <cell r="S127">
            <v>0</v>
          </cell>
          <cell r="T127">
            <v>0</v>
          </cell>
          <cell r="U127">
            <v>0</v>
          </cell>
          <cell r="V127">
            <v>-34144.870000000003</v>
          </cell>
          <cell r="W127">
            <v>0</v>
          </cell>
          <cell r="X127">
            <v>0</v>
          </cell>
          <cell r="Y127">
            <v>0</v>
          </cell>
          <cell r="Z127">
            <v>0</v>
          </cell>
          <cell r="AA127">
            <v>0</v>
          </cell>
          <cell r="AB127">
            <v>0</v>
          </cell>
          <cell r="AC127">
            <v>0</v>
          </cell>
          <cell r="AD127">
            <v>0</v>
          </cell>
          <cell r="AE127">
            <v>0</v>
          </cell>
          <cell r="AF127">
            <v>0</v>
          </cell>
        </row>
        <row r="128">
          <cell r="A128">
            <v>1500029</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row>
        <row r="129">
          <cell r="A129">
            <v>1500030</v>
          </cell>
          <cell r="B129" t="str">
            <v>1500030</v>
          </cell>
          <cell r="C129" t="str">
            <v>0</v>
          </cell>
          <cell r="D129" t="str">
            <v>15000</v>
          </cell>
          <cell r="E129" t="str">
            <v>G3PREMAL</v>
          </cell>
          <cell r="F129" t="str">
            <v>G3PREMAL</v>
          </cell>
          <cell r="G129" t="str">
            <v>M.S.Coated Key board Tray &amp; CPU Trolly</v>
          </cell>
          <cell r="H129">
            <v>0</v>
          </cell>
          <cell r="K129">
            <v>0</v>
          </cell>
          <cell r="L129">
            <v>0</v>
          </cell>
          <cell r="M129">
            <v>0</v>
          </cell>
          <cell r="N129">
            <v>0</v>
          </cell>
          <cell r="O129">
            <v>0</v>
          </cell>
          <cell r="P129">
            <v>0</v>
          </cell>
          <cell r="Q129">
            <v>0</v>
          </cell>
          <cell r="R129">
            <v>0</v>
          </cell>
          <cell r="S129">
            <v>0</v>
          </cell>
          <cell r="T129">
            <v>0</v>
          </cell>
          <cell r="U129">
            <v>0</v>
          </cell>
          <cell r="V129">
            <v>-4298.12</v>
          </cell>
          <cell r="W129">
            <v>0</v>
          </cell>
          <cell r="X129">
            <v>0</v>
          </cell>
          <cell r="Y129">
            <v>0</v>
          </cell>
          <cell r="Z129">
            <v>0</v>
          </cell>
          <cell r="AA129">
            <v>0</v>
          </cell>
          <cell r="AB129">
            <v>33082</v>
          </cell>
          <cell r="AC129">
            <v>0</v>
          </cell>
          <cell r="AD129">
            <v>0</v>
          </cell>
          <cell r="AE129">
            <v>0</v>
          </cell>
          <cell r="AF129">
            <v>0</v>
          </cell>
        </row>
        <row r="130">
          <cell r="A130">
            <v>1500030</v>
          </cell>
          <cell r="H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33082</v>
          </cell>
          <cell r="AC130">
            <v>0</v>
          </cell>
          <cell r="AD130">
            <v>0</v>
          </cell>
          <cell r="AE130">
            <v>0</v>
          </cell>
          <cell r="AF130">
            <v>0</v>
          </cell>
        </row>
        <row r="131">
          <cell r="A131">
            <v>1500030</v>
          </cell>
          <cell r="H131">
            <v>33082</v>
          </cell>
          <cell r="J131">
            <v>33082</v>
          </cell>
          <cell r="K131">
            <v>0</v>
          </cell>
          <cell r="L131">
            <v>0</v>
          </cell>
          <cell r="M131">
            <v>-4298.12</v>
          </cell>
          <cell r="N131">
            <v>0</v>
          </cell>
          <cell r="O131">
            <v>0</v>
          </cell>
          <cell r="P131">
            <v>0</v>
          </cell>
          <cell r="Q131">
            <v>0</v>
          </cell>
          <cell r="R131">
            <v>0</v>
          </cell>
          <cell r="S131">
            <v>0</v>
          </cell>
          <cell r="T131">
            <v>0</v>
          </cell>
          <cell r="U131">
            <v>0</v>
          </cell>
          <cell r="V131">
            <v>-5209.88</v>
          </cell>
          <cell r="W131">
            <v>0</v>
          </cell>
          <cell r="X131">
            <v>0</v>
          </cell>
          <cell r="Y131">
            <v>0</v>
          </cell>
          <cell r="Z131">
            <v>0</v>
          </cell>
          <cell r="AA131">
            <v>0</v>
          </cell>
          <cell r="AB131">
            <v>0</v>
          </cell>
          <cell r="AC131">
            <v>0</v>
          </cell>
          <cell r="AD131">
            <v>0</v>
          </cell>
          <cell r="AE131">
            <v>0</v>
          </cell>
          <cell r="AF131">
            <v>0</v>
          </cell>
        </row>
        <row r="132">
          <cell r="A132">
            <v>1500030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row>
        <row r="133">
          <cell r="A133">
            <v>1500031</v>
          </cell>
          <cell r="B133" t="str">
            <v>1500031</v>
          </cell>
          <cell r="C133" t="str">
            <v>0</v>
          </cell>
          <cell r="D133" t="str">
            <v>15000</v>
          </cell>
          <cell r="E133" t="str">
            <v>G3PREMAL</v>
          </cell>
          <cell r="F133" t="str">
            <v>G3PREMAL</v>
          </cell>
          <cell r="G133" t="str">
            <v>DUSTBINS</v>
          </cell>
          <cell r="H133">
            <v>0</v>
          </cell>
          <cell r="K133">
            <v>0</v>
          </cell>
          <cell r="L133">
            <v>0</v>
          </cell>
          <cell r="M133">
            <v>0</v>
          </cell>
          <cell r="N133">
            <v>0</v>
          </cell>
          <cell r="O133">
            <v>0</v>
          </cell>
          <cell r="P133">
            <v>0</v>
          </cell>
          <cell r="Q133">
            <v>0</v>
          </cell>
          <cell r="R133">
            <v>0</v>
          </cell>
          <cell r="S133">
            <v>0</v>
          </cell>
          <cell r="T133">
            <v>0</v>
          </cell>
          <cell r="U133">
            <v>0</v>
          </cell>
          <cell r="V133">
            <v>-1322.49</v>
          </cell>
          <cell r="W133">
            <v>0</v>
          </cell>
          <cell r="X133">
            <v>0</v>
          </cell>
          <cell r="Y133">
            <v>0</v>
          </cell>
          <cell r="Z133">
            <v>0</v>
          </cell>
          <cell r="AA133">
            <v>0</v>
          </cell>
          <cell r="AB133">
            <v>10179</v>
          </cell>
          <cell r="AC133">
            <v>0</v>
          </cell>
          <cell r="AD133">
            <v>0</v>
          </cell>
          <cell r="AE133">
            <v>0</v>
          </cell>
          <cell r="AF133">
            <v>0</v>
          </cell>
        </row>
        <row r="134">
          <cell r="A134">
            <v>1500031</v>
          </cell>
          <cell r="H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10179</v>
          </cell>
          <cell r="AC134">
            <v>0</v>
          </cell>
          <cell r="AD134">
            <v>0</v>
          </cell>
          <cell r="AE134">
            <v>0</v>
          </cell>
          <cell r="AF134">
            <v>0</v>
          </cell>
        </row>
        <row r="135">
          <cell r="A135">
            <v>1500031</v>
          </cell>
          <cell r="H135">
            <v>10179</v>
          </cell>
          <cell r="J135">
            <v>10179</v>
          </cell>
          <cell r="K135">
            <v>0</v>
          </cell>
          <cell r="L135">
            <v>0</v>
          </cell>
          <cell r="M135">
            <v>-1322.49</v>
          </cell>
          <cell r="N135">
            <v>0</v>
          </cell>
          <cell r="O135">
            <v>0</v>
          </cell>
          <cell r="P135">
            <v>0</v>
          </cell>
          <cell r="Q135">
            <v>0</v>
          </cell>
          <cell r="R135">
            <v>0</v>
          </cell>
          <cell r="S135">
            <v>0</v>
          </cell>
          <cell r="T135">
            <v>0</v>
          </cell>
          <cell r="U135">
            <v>0</v>
          </cell>
          <cell r="V135">
            <v>-1603.03</v>
          </cell>
          <cell r="W135">
            <v>0</v>
          </cell>
          <cell r="X135">
            <v>0</v>
          </cell>
          <cell r="Y135">
            <v>0</v>
          </cell>
          <cell r="Z135">
            <v>0</v>
          </cell>
          <cell r="AA135">
            <v>0</v>
          </cell>
          <cell r="AB135">
            <v>0</v>
          </cell>
          <cell r="AC135">
            <v>0</v>
          </cell>
          <cell r="AD135">
            <v>0</v>
          </cell>
          <cell r="AE135">
            <v>0</v>
          </cell>
          <cell r="AF135">
            <v>0</v>
          </cell>
        </row>
        <row r="136">
          <cell r="A136">
            <v>1500031</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row>
        <row r="137">
          <cell r="A137">
            <v>1500032</v>
          </cell>
          <cell r="B137" t="str">
            <v>1500032</v>
          </cell>
          <cell r="C137" t="str">
            <v>0</v>
          </cell>
          <cell r="D137" t="str">
            <v>15000</v>
          </cell>
          <cell r="E137" t="str">
            <v>G3PREMAL</v>
          </cell>
          <cell r="F137" t="str">
            <v/>
          </cell>
          <cell r="G137" t="str">
            <v>A.C. UNIT</v>
          </cell>
          <cell r="H137">
            <v>0</v>
          </cell>
          <cell r="K137">
            <v>0</v>
          </cell>
          <cell r="L137">
            <v>0</v>
          </cell>
          <cell r="M137">
            <v>0</v>
          </cell>
          <cell r="N137">
            <v>0</v>
          </cell>
          <cell r="O137">
            <v>0</v>
          </cell>
          <cell r="P137">
            <v>0</v>
          </cell>
          <cell r="Q137">
            <v>0</v>
          </cell>
          <cell r="R137">
            <v>0</v>
          </cell>
          <cell r="S137">
            <v>0</v>
          </cell>
          <cell r="T137">
            <v>0</v>
          </cell>
          <cell r="U137">
            <v>0</v>
          </cell>
          <cell r="V137">
            <v>-1587.02</v>
          </cell>
          <cell r="W137">
            <v>0</v>
          </cell>
          <cell r="X137">
            <v>0</v>
          </cell>
          <cell r="Y137">
            <v>0</v>
          </cell>
          <cell r="Z137">
            <v>0</v>
          </cell>
          <cell r="AA137">
            <v>0</v>
          </cell>
          <cell r="AB137">
            <v>12215</v>
          </cell>
          <cell r="AC137">
            <v>0</v>
          </cell>
          <cell r="AD137">
            <v>0</v>
          </cell>
          <cell r="AE137">
            <v>0</v>
          </cell>
          <cell r="AF137">
            <v>0</v>
          </cell>
        </row>
        <row r="138">
          <cell r="A138">
            <v>1500032</v>
          </cell>
          <cell r="H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12215</v>
          </cell>
          <cell r="AC138">
            <v>0</v>
          </cell>
          <cell r="AD138">
            <v>0</v>
          </cell>
          <cell r="AE138">
            <v>0</v>
          </cell>
          <cell r="AF138">
            <v>0</v>
          </cell>
        </row>
        <row r="139">
          <cell r="A139">
            <v>1500032</v>
          </cell>
          <cell r="H139">
            <v>12215</v>
          </cell>
          <cell r="J139">
            <v>12215</v>
          </cell>
          <cell r="K139">
            <v>0</v>
          </cell>
          <cell r="L139">
            <v>0</v>
          </cell>
          <cell r="M139">
            <v>-1587.02</v>
          </cell>
          <cell r="N139">
            <v>0</v>
          </cell>
          <cell r="O139">
            <v>0</v>
          </cell>
          <cell r="P139">
            <v>0</v>
          </cell>
          <cell r="Q139">
            <v>0</v>
          </cell>
          <cell r="R139">
            <v>0</v>
          </cell>
          <cell r="S139">
            <v>0</v>
          </cell>
          <cell r="T139">
            <v>0</v>
          </cell>
          <cell r="U139">
            <v>0</v>
          </cell>
          <cell r="V139">
            <v>-1923.66</v>
          </cell>
          <cell r="W139">
            <v>0</v>
          </cell>
          <cell r="X139">
            <v>0</v>
          </cell>
          <cell r="Y139">
            <v>0</v>
          </cell>
          <cell r="Z139">
            <v>0</v>
          </cell>
          <cell r="AA139">
            <v>0</v>
          </cell>
          <cell r="AB139">
            <v>0</v>
          </cell>
          <cell r="AC139">
            <v>0</v>
          </cell>
          <cell r="AD139">
            <v>0</v>
          </cell>
          <cell r="AE139">
            <v>0</v>
          </cell>
          <cell r="AF139">
            <v>0</v>
          </cell>
        </row>
        <row r="140">
          <cell r="A140">
            <v>1500032</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row>
        <row r="141">
          <cell r="A141">
            <v>1500033</v>
          </cell>
          <cell r="B141" t="str">
            <v>1500033</v>
          </cell>
          <cell r="C141" t="str">
            <v>0</v>
          </cell>
          <cell r="D141" t="str">
            <v>15000</v>
          </cell>
          <cell r="E141" t="str">
            <v>G3PREMAL</v>
          </cell>
          <cell r="F141" t="str">
            <v/>
          </cell>
          <cell r="G141" t="str">
            <v>GIPL LETTER</v>
          </cell>
          <cell r="H141">
            <v>0</v>
          </cell>
          <cell r="K141">
            <v>0</v>
          </cell>
          <cell r="L141">
            <v>0</v>
          </cell>
          <cell r="M141">
            <v>0</v>
          </cell>
          <cell r="N141">
            <v>0</v>
          </cell>
          <cell r="O141">
            <v>0</v>
          </cell>
          <cell r="P141">
            <v>0</v>
          </cell>
          <cell r="Q141">
            <v>0</v>
          </cell>
          <cell r="R141">
            <v>0</v>
          </cell>
          <cell r="S141">
            <v>0</v>
          </cell>
          <cell r="T141">
            <v>0</v>
          </cell>
          <cell r="U141">
            <v>0</v>
          </cell>
          <cell r="V141">
            <v>-5697.4</v>
          </cell>
          <cell r="W141">
            <v>0</v>
          </cell>
          <cell r="X141">
            <v>0</v>
          </cell>
          <cell r="Y141">
            <v>0</v>
          </cell>
          <cell r="Z141">
            <v>0</v>
          </cell>
          <cell r="AA141">
            <v>0</v>
          </cell>
          <cell r="AB141">
            <v>43852</v>
          </cell>
          <cell r="AC141">
            <v>0</v>
          </cell>
          <cell r="AD141">
            <v>0</v>
          </cell>
          <cell r="AE141">
            <v>0</v>
          </cell>
          <cell r="AF141">
            <v>0</v>
          </cell>
        </row>
        <row r="142">
          <cell r="A142">
            <v>1500033</v>
          </cell>
          <cell r="H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43852</v>
          </cell>
          <cell r="AC142">
            <v>0</v>
          </cell>
          <cell r="AD142">
            <v>0</v>
          </cell>
          <cell r="AE142">
            <v>0</v>
          </cell>
          <cell r="AF142">
            <v>0</v>
          </cell>
        </row>
        <row r="143">
          <cell r="A143">
            <v>1500033</v>
          </cell>
          <cell r="H143">
            <v>43852</v>
          </cell>
          <cell r="J143">
            <v>43852</v>
          </cell>
          <cell r="K143">
            <v>0</v>
          </cell>
          <cell r="L143">
            <v>0</v>
          </cell>
          <cell r="M143">
            <v>-5697.4</v>
          </cell>
          <cell r="N143">
            <v>0</v>
          </cell>
          <cell r="O143">
            <v>0</v>
          </cell>
          <cell r="P143">
            <v>0</v>
          </cell>
          <cell r="Q143">
            <v>0</v>
          </cell>
          <cell r="R143">
            <v>0</v>
          </cell>
          <cell r="S143">
            <v>0</v>
          </cell>
          <cell r="T143">
            <v>0</v>
          </cell>
          <cell r="U143">
            <v>0</v>
          </cell>
          <cell r="V143">
            <v>-6905.98</v>
          </cell>
          <cell r="W143">
            <v>0</v>
          </cell>
          <cell r="X143">
            <v>0</v>
          </cell>
          <cell r="Y143">
            <v>0</v>
          </cell>
          <cell r="Z143">
            <v>0</v>
          </cell>
          <cell r="AA143">
            <v>0</v>
          </cell>
          <cell r="AB143">
            <v>0</v>
          </cell>
          <cell r="AC143">
            <v>0</v>
          </cell>
          <cell r="AD143">
            <v>0</v>
          </cell>
          <cell r="AE143">
            <v>0</v>
          </cell>
          <cell r="AF143">
            <v>0</v>
          </cell>
        </row>
        <row r="144">
          <cell r="A144">
            <v>1500033</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row>
        <row r="145">
          <cell r="A145">
            <v>1500034</v>
          </cell>
          <cell r="B145" t="str">
            <v>1500034</v>
          </cell>
          <cell r="C145" t="str">
            <v>0</v>
          </cell>
          <cell r="D145" t="str">
            <v>15000</v>
          </cell>
          <cell r="E145" t="str">
            <v>G3PREMAL</v>
          </cell>
          <cell r="F145" t="str">
            <v>G3PREMAL</v>
          </cell>
          <cell r="G145" t="str">
            <v>MIRRORS</v>
          </cell>
          <cell r="H145">
            <v>0</v>
          </cell>
          <cell r="K145">
            <v>0</v>
          </cell>
          <cell r="L145">
            <v>0</v>
          </cell>
          <cell r="M145">
            <v>0</v>
          </cell>
          <cell r="N145">
            <v>0</v>
          </cell>
          <cell r="O145">
            <v>0</v>
          </cell>
          <cell r="P145">
            <v>0</v>
          </cell>
          <cell r="Q145">
            <v>0</v>
          </cell>
          <cell r="R145">
            <v>0</v>
          </cell>
          <cell r="S145">
            <v>0</v>
          </cell>
          <cell r="T145">
            <v>0</v>
          </cell>
          <cell r="U145">
            <v>0</v>
          </cell>
          <cell r="V145">
            <v>-396.78</v>
          </cell>
          <cell r="W145">
            <v>0</v>
          </cell>
          <cell r="X145">
            <v>0</v>
          </cell>
          <cell r="Y145">
            <v>0</v>
          </cell>
          <cell r="Z145">
            <v>0</v>
          </cell>
          <cell r="AA145">
            <v>0</v>
          </cell>
          <cell r="AB145">
            <v>3054</v>
          </cell>
          <cell r="AC145">
            <v>0</v>
          </cell>
          <cell r="AD145">
            <v>0</v>
          </cell>
          <cell r="AE145">
            <v>0</v>
          </cell>
          <cell r="AF145">
            <v>0</v>
          </cell>
        </row>
        <row r="146">
          <cell r="A146">
            <v>1500034</v>
          </cell>
          <cell r="H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3054</v>
          </cell>
          <cell r="AC146">
            <v>0</v>
          </cell>
          <cell r="AD146">
            <v>0</v>
          </cell>
          <cell r="AE146">
            <v>0</v>
          </cell>
          <cell r="AF146">
            <v>0</v>
          </cell>
        </row>
        <row r="147">
          <cell r="A147">
            <v>1500034</v>
          </cell>
          <cell r="H147">
            <v>3054</v>
          </cell>
          <cell r="J147">
            <v>3054</v>
          </cell>
          <cell r="K147">
            <v>0</v>
          </cell>
          <cell r="L147">
            <v>0</v>
          </cell>
          <cell r="M147">
            <v>-396.78</v>
          </cell>
          <cell r="N147">
            <v>0</v>
          </cell>
          <cell r="O147">
            <v>0</v>
          </cell>
          <cell r="P147">
            <v>0</v>
          </cell>
          <cell r="Q147">
            <v>0</v>
          </cell>
          <cell r="R147">
            <v>0</v>
          </cell>
          <cell r="S147">
            <v>0</v>
          </cell>
          <cell r="T147">
            <v>0</v>
          </cell>
          <cell r="U147">
            <v>0</v>
          </cell>
          <cell r="V147">
            <v>-480.96</v>
          </cell>
          <cell r="W147">
            <v>0</v>
          </cell>
          <cell r="X147">
            <v>0</v>
          </cell>
          <cell r="Y147">
            <v>0</v>
          </cell>
          <cell r="Z147">
            <v>0</v>
          </cell>
          <cell r="AA147">
            <v>0</v>
          </cell>
          <cell r="AB147">
            <v>0</v>
          </cell>
          <cell r="AC147">
            <v>0</v>
          </cell>
          <cell r="AD147">
            <v>0</v>
          </cell>
          <cell r="AE147">
            <v>0</v>
          </cell>
          <cell r="AF147">
            <v>0</v>
          </cell>
        </row>
        <row r="148">
          <cell r="A148">
            <v>1500034</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row>
        <row r="149">
          <cell r="A149">
            <v>1500035</v>
          </cell>
          <cell r="B149" t="str">
            <v>1500035</v>
          </cell>
          <cell r="C149" t="str">
            <v>0</v>
          </cell>
          <cell r="D149" t="str">
            <v>15000</v>
          </cell>
          <cell r="E149" t="str">
            <v>G3PREMAL</v>
          </cell>
          <cell r="F149" t="str">
            <v>G3PREMAL</v>
          </cell>
          <cell r="G149" t="str">
            <v>MISC. FURNITURE</v>
          </cell>
          <cell r="H149">
            <v>0</v>
          </cell>
          <cell r="K149">
            <v>0</v>
          </cell>
          <cell r="L149">
            <v>0</v>
          </cell>
          <cell r="M149">
            <v>0</v>
          </cell>
          <cell r="N149">
            <v>0</v>
          </cell>
          <cell r="O149">
            <v>0</v>
          </cell>
          <cell r="P149">
            <v>0</v>
          </cell>
          <cell r="Q149">
            <v>0</v>
          </cell>
          <cell r="R149">
            <v>0</v>
          </cell>
          <cell r="S149">
            <v>0</v>
          </cell>
          <cell r="T149">
            <v>0</v>
          </cell>
          <cell r="U149">
            <v>0</v>
          </cell>
          <cell r="V149">
            <v>-2644.98</v>
          </cell>
          <cell r="W149">
            <v>0</v>
          </cell>
          <cell r="X149">
            <v>0</v>
          </cell>
          <cell r="Y149">
            <v>0</v>
          </cell>
          <cell r="Z149">
            <v>0</v>
          </cell>
          <cell r="AA149">
            <v>0</v>
          </cell>
          <cell r="AB149">
            <v>20358</v>
          </cell>
          <cell r="AC149">
            <v>0</v>
          </cell>
          <cell r="AD149">
            <v>0</v>
          </cell>
          <cell r="AE149">
            <v>0</v>
          </cell>
          <cell r="AF149">
            <v>0</v>
          </cell>
        </row>
        <row r="150">
          <cell r="A150">
            <v>1500035</v>
          </cell>
          <cell r="H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20358</v>
          </cell>
          <cell r="AC150">
            <v>0</v>
          </cell>
          <cell r="AD150">
            <v>0</v>
          </cell>
          <cell r="AE150">
            <v>0</v>
          </cell>
          <cell r="AF150">
            <v>0</v>
          </cell>
        </row>
        <row r="151">
          <cell r="A151">
            <v>1500035</v>
          </cell>
          <cell r="H151">
            <v>20358</v>
          </cell>
          <cell r="J151">
            <v>20358</v>
          </cell>
          <cell r="K151">
            <v>0</v>
          </cell>
          <cell r="L151">
            <v>0</v>
          </cell>
          <cell r="M151">
            <v>-2644.98</v>
          </cell>
          <cell r="N151">
            <v>0</v>
          </cell>
          <cell r="O151">
            <v>0</v>
          </cell>
          <cell r="P151">
            <v>0</v>
          </cell>
          <cell r="Q151">
            <v>0</v>
          </cell>
          <cell r="R151">
            <v>0</v>
          </cell>
          <cell r="S151">
            <v>0</v>
          </cell>
          <cell r="T151">
            <v>0</v>
          </cell>
          <cell r="U151">
            <v>0</v>
          </cell>
          <cell r="V151">
            <v>-3206.06</v>
          </cell>
          <cell r="W151">
            <v>0</v>
          </cell>
          <cell r="X151">
            <v>0</v>
          </cell>
          <cell r="Y151">
            <v>0</v>
          </cell>
          <cell r="Z151">
            <v>0</v>
          </cell>
          <cell r="AA151">
            <v>0</v>
          </cell>
          <cell r="AB151">
            <v>0</v>
          </cell>
          <cell r="AC151">
            <v>0</v>
          </cell>
          <cell r="AD151">
            <v>0</v>
          </cell>
          <cell r="AE151">
            <v>0</v>
          </cell>
          <cell r="AF151">
            <v>0</v>
          </cell>
        </row>
        <row r="152">
          <cell r="A152">
            <v>1500035</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row>
        <row r="153">
          <cell r="A153">
            <v>1500036</v>
          </cell>
          <cell r="B153" t="str">
            <v>1500036</v>
          </cell>
          <cell r="C153" t="str">
            <v>0</v>
          </cell>
          <cell r="D153" t="str">
            <v>15000</v>
          </cell>
          <cell r="E153" t="str">
            <v>G3PREMAL</v>
          </cell>
          <cell r="F153" t="str">
            <v/>
          </cell>
          <cell r="G153" t="str">
            <v>Potted Plants</v>
          </cell>
          <cell r="H153">
            <v>0</v>
          </cell>
          <cell r="K153">
            <v>0</v>
          </cell>
          <cell r="L153">
            <v>0</v>
          </cell>
          <cell r="M153">
            <v>0</v>
          </cell>
          <cell r="N153">
            <v>0</v>
          </cell>
          <cell r="O153">
            <v>0</v>
          </cell>
          <cell r="P153">
            <v>0</v>
          </cell>
          <cell r="Q153">
            <v>0</v>
          </cell>
          <cell r="R153">
            <v>0</v>
          </cell>
          <cell r="S153">
            <v>0</v>
          </cell>
          <cell r="T153">
            <v>0</v>
          </cell>
          <cell r="U153">
            <v>0</v>
          </cell>
          <cell r="V153">
            <v>-586.44000000000005</v>
          </cell>
          <cell r="W153">
            <v>0</v>
          </cell>
          <cell r="X153">
            <v>0</v>
          </cell>
          <cell r="Y153">
            <v>0</v>
          </cell>
          <cell r="Z153">
            <v>0</v>
          </cell>
          <cell r="AA153">
            <v>0</v>
          </cell>
          <cell r="AB153">
            <v>5400</v>
          </cell>
          <cell r="AC153">
            <v>0</v>
          </cell>
          <cell r="AD153">
            <v>0</v>
          </cell>
          <cell r="AE153">
            <v>0</v>
          </cell>
          <cell r="AF153">
            <v>0</v>
          </cell>
        </row>
        <row r="154">
          <cell r="A154">
            <v>1500036</v>
          </cell>
          <cell r="H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5400</v>
          </cell>
          <cell r="AC154">
            <v>0</v>
          </cell>
          <cell r="AD154">
            <v>0</v>
          </cell>
          <cell r="AE154">
            <v>0</v>
          </cell>
          <cell r="AF154">
            <v>0</v>
          </cell>
        </row>
        <row r="155">
          <cell r="A155">
            <v>1500036</v>
          </cell>
          <cell r="H155">
            <v>5400</v>
          </cell>
          <cell r="J155">
            <v>5400</v>
          </cell>
          <cell r="K155">
            <v>0</v>
          </cell>
          <cell r="L155">
            <v>0</v>
          </cell>
          <cell r="M155">
            <v>-586.44000000000005</v>
          </cell>
          <cell r="N155">
            <v>0</v>
          </cell>
          <cell r="O155">
            <v>0</v>
          </cell>
          <cell r="P155">
            <v>0</v>
          </cell>
          <cell r="Q155">
            <v>0</v>
          </cell>
          <cell r="R155">
            <v>0</v>
          </cell>
          <cell r="S155">
            <v>0</v>
          </cell>
          <cell r="T155">
            <v>0</v>
          </cell>
          <cell r="U155">
            <v>0</v>
          </cell>
          <cell r="V155">
            <v>-871.25</v>
          </cell>
          <cell r="W155">
            <v>0</v>
          </cell>
          <cell r="X155">
            <v>0</v>
          </cell>
          <cell r="Y155">
            <v>0</v>
          </cell>
          <cell r="Z155">
            <v>0</v>
          </cell>
          <cell r="AA155">
            <v>0</v>
          </cell>
          <cell r="AB155">
            <v>0</v>
          </cell>
          <cell r="AC155">
            <v>0</v>
          </cell>
          <cell r="AD155">
            <v>0</v>
          </cell>
          <cell r="AE155">
            <v>0</v>
          </cell>
          <cell r="AF155">
            <v>0</v>
          </cell>
        </row>
        <row r="156">
          <cell r="A156">
            <v>1500036</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row>
        <row r="157">
          <cell r="A157">
            <v>1500037</v>
          </cell>
          <cell r="B157" t="str">
            <v>1500037</v>
          </cell>
          <cell r="C157" t="str">
            <v>0</v>
          </cell>
          <cell r="D157" t="str">
            <v>15000</v>
          </cell>
          <cell r="E157" t="str">
            <v>G3PREMAL</v>
          </cell>
          <cell r="F157" t="str">
            <v/>
          </cell>
          <cell r="G157" t="str">
            <v>Electric Fittings</v>
          </cell>
          <cell r="H157">
            <v>0</v>
          </cell>
          <cell r="K157">
            <v>0</v>
          </cell>
          <cell r="L157">
            <v>0</v>
          </cell>
          <cell r="M157">
            <v>0</v>
          </cell>
          <cell r="N157">
            <v>0</v>
          </cell>
          <cell r="O157">
            <v>0</v>
          </cell>
          <cell r="P157">
            <v>0</v>
          </cell>
          <cell r="Q157">
            <v>0</v>
          </cell>
          <cell r="R157">
            <v>0</v>
          </cell>
          <cell r="S157">
            <v>0</v>
          </cell>
          <cell r="T157">
            <v>0</v>
          </cell>
          <cell r="U157">
            <v>0</v>
          </cell>
          <cell r="V157">
            <v>-103756.21</v>
          </cell>
          <cell r="W157">
            <v>0</v>
          </cell>
          <cell r="X157">
            <v>0</v>
          </cell>
          <cell r="Y157">
            <v>0</v>
          </cell>
          <cell r="Z157">
            <v>0</v>
          </cell>
          <cell r="AA157">
            <v>0</v>
          </cell>
          <cell r="AB157">
            <v>798596</v>
          </cell>
          <cell r="AC157">
            <v>0</v>
          </cell>
          <cell r="AD157">
            <v>0</v>
          </cell>
          <cell r="AE157">
            <v>0</v>
          </cell>
          <cell r="AF157">
            <v>0</v>
          </cell>
        </row>
        <row r="158">
          <cell r="A158">
            <v>1500037</v>
          </cell>
          <cell r="H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798596</v>
          </cell>
          <cell r="AC158">
            <v>0</v>
          </cell>
          <cell r="AD158">
            <v>0</v>
          </cell>
          <cell r="AE158">
            <v>0</v>
          </cell>
          <cell r="AF158">
            <v>0</v>
          </cell>
        </row>
        <row r="159">
          <cell r="A159">
            <v>1500037</v>
          </cell>
          <cell r="H159">
            <v>798596</v>
          </cell>
          <cell r="J159">
            <v>798596</v>
          </cell>
          <cell r="K159">
            <v>0</v>
          </cell>
          <cell r="L159">
            <v>0</v>
          </cell>
          <cell r="M159">
            <v>-103756.21</v>
          </cell>
          <cell r="N159">
            <v>0</v>
          </cell>
          <cell r="O159">
            <v>0</v>
          </cell>
          <cell r="P159">
            <v>0</v>
          </cell>
          <cell r="Q159">
            <v>0</v>
          </cell>
          <cell r="R159">
            <v>0</v>
          </cell>
          <cell r="S159">
            <v>0</v>
          </cell>
          <cell r="T159">
            <v>0</v>
          </cell>
          <cell r="U159">
            <v>0</v>
          </cell>
          <cell r="V159">
            <v>-125766</v>
          </cell>
          <cell r="W159">
            <v>0</v>
          </cell>
          <cell r="X159">
            <v>0</v>
          </cell>
          <cell r="Y159">
            <v>0</v>
          </cell>
          <cell r="Z159">
            <v>0</v>
          </cell>
          <cell r="AA159">
            <v>0</v>
          </cell>
          <cell r="AB159">
            <v>0</v>
          </cell>
          <cell r="AC159">
            <v>0</v>
          </cell>
          <cell r="AD159">
            <v>0</v>
          </cell>
          <cell r="AE159">
            <v>0</v>
          </cell>
          <cell r="AF159">
            <v>0</v>
          </cell>
        </row>
        <row r="160">
          <cell r="A160">
            <v>1500037</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row>
        <row r="161">
          <cell r="A161">
            <v>1500038</v>
          </cell>
          <cell r="B161" t="str">
            <v>1500038</v>
          </cell>
          <cell r="C161" t="str">
            <v>0</v>
          </cell>
          <cell r="D161" t="str">
            <v>15000</v>
          </cell>
          <cell r="E161" t="str">
            <v>G3PREMAL</v>
          </cell>
          <cell r="F161" t="str">
            <v/>
          </cell>
          <cell r="G161" t="str">
            <v>VERTICAL BLINDS</v>
          </cell>
          <cell r="H161">
            <v>0</v>
          </cell>
          <cell r="K161">
            <v>0</v>
          </cell>
          <cell r="L161">
            <v>0</v>
          </cell>
          <cell r="M161">
            <v>0</v>
          </cell>
          <cell r="N161">
            <v>0</v>
          </cell>
          <cell r="O161">
            <v>0</v>
          </cell>
          <cell r="P161">
            <v>0</v>
          </cell>
          <cell r="Q161">
            <v>0</v>
          </cell>
          <cell r="R161">
            <v>0</v>
          </cell>
          <cell r="S161">
            <v>0</v>
          </cell>
          <cell r="T161">
            <v>0</v>
          </cell>
          <cell r="U161">
            <v>0</v>
          </cell>
          <cell r="V161">
            <v>-1381.67</v>
          </cell>
          <cell r="W161">
            <v>0</v>
          </cell>
          <cell r="X161">
            <v>0</v>
          </cell>
          <cell r="Y161">
            <v>0</v>
          </cell>
          <cell r="Z161">
            <v>0</v>
          </cell>
          <cell r="AA161">
            <v>0</v>
          </cell>
          <cell r="AB161">
            <v>9226</v>
          </cell>
          <cell r="AC161">
            <v>0</v>
          </cell>
          <cell r="AD161">
            <v>0</v>
          </cell>
          <cell r="AE161">
            <v>0</v>
          </cell>
          <cell r="AF161">
            <v>0</v>
          </cell>
        </row>
        <row r="162">
          <cell r="A162">
            <v>1500038</v>
          </cell>
          <cell r="H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9226</v>
          </cell>
          <cell r="AC162">
            <v>0</v>
          </cell>
          <cell r="AD162">
            <v>0</v>
          </cell>
          <cell r="AE162">
            <v>0</v>
          </cell>
          <cell r="AF162">
            <v>0</v>
          </cell>
        </row>
        <row r="163">
          <cell r="A163">
            <v>1500039</v>
          </cell>
          <cell r="B163" t="str">
            <v>1500039</v>
          </cell>
          <cell r="C163" t="str">
            <v>0</v>
          </cell>
          <cell r="D163" t="str">
            <v>15000</v>
          </cell>
          <cell r="E163" t="str">
            <v>G3PREMAL</v>
          </cell>
          <cell r="F163" t="str">
            <v/>
          </cell>
          <cell r="G163" t="str">
            <v>Electric Fittings &amp; installation</v>
          </cell>
          <cell r="H163">
            <v>0</v>
          </cell>
          <cell r="K163">
            <v>0</v>
          </cell>
          <cell r="L163">
            <v>0</v>
          </cell>
          <cell r="M163">
            <v>0</v>
          </cell>
          <cell r="N163">
            <v>0</v>
          </cell>
          <cell r="O163">
            <v>0</v>
          </cell>
          <cell r="P163">
            <v>0</v>
          </cell>
          <cell r="Q163">
            <v>0</v>
          </cell>
          <cell r="R163">
            <v>0</v>
          </cell>
          <cell r="S163">
            <v>0</v>
          </cell>
          <cell r="T163">
            <v>0</v>
          </cell>
          <cell r="U163">
            <v>0</v>
          </cell>
          <cell r="V163">
            <v>-436.48</v>
          </cell>
          <cell r="W163">
            <v>0</v>
          </cell>
          <cell r="X163">
            <v>0</v>
          </cell>
          <cell r="Y163">
            <v>0</v>
          </cell>
          <cell r="Z163">
            <v>0</v>
          </cell>
          <cell r="AA163">
            <v>0</v>
          </cell>
          <cell r="AB163">
            <v>5400</v>
          </cell>
          <cell r="AC163">
            <v>0</v>
          </cell>
          <cell r="AD163">
            <v>0</v>
          </cell>
          <cell r="AE163">
            <v>0</v>
          </cell>
          <cell r="AF163">
            <v>0</v>
          </cell>
        </row>
        <row r="164">
          <cell r="A164">
            <v>1500039</v>
          </cell>
          <cell r="H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5400</v>
          </cell>
          <cell r="AC164">
            <v>0</v>
          </cell>
          <cell r="AD164">
            <v>0</v>
          </cell>
          <cell r="AE164">
            <v>0</v>
          </cell>
          <cell r="AF164">
            <v>0</v>
          </cell>
        </row>
        <row r="165">
          <cell r="A165">
            <v>1500040</v>
          </cell>
          <cell r="B165" t="str">
            <v>1500040</v>
          </cell>
          <cell r="C165" t="str">
            <v>0</v>
          </cell>
          <cell r="D165" t="str">
            <v>15000</v>
          </cell>
          <cell r="E165" t="str">
            <v>G3PREMAL</v>
          </cell>
          <cell r="F165" t="str">
            <v/>
          </cell>
          <cell r="G165" t="str">
            <v>FILE CABINET</v>
          </cell>
          <cell r="H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row>
        <row r="166">
          <cell r="A166">
            <v>1500040</v>
          </cell>
          <cell r="H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row>
        <row r="167">
          <cell r="A167">
            <v>1500041</v>
          </cell>
          <cell r="B167" t="str">
            <v>1500041</v>
          </cell>
          <cell r="C167" t="str">
            <v>0</v>
          </cell>
          <cell r="D167" t="str">
            <v>15000</v>
          </cell>
          <cell r="E167" t="str">
            <v>G3PREMAL</v>
          </cell>
          <cell r="F167" t="str">
            <v/>
          </cell>
          <cell r="G167" t="str">
            <v>Executive Table - New Office</v>
          </cell>
          <cell r="H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row>
        <row r="168">
          <cell r="A168">
            <v>1500042</v>
          </cell>
          <cell r="B168" t="str">
            <v>1500042</v>
          </cell>
          <cell r="C168" t="str">
            <v>0</v>
          </cell>
          <cell r="D168" t="str">
            <v>15000</v>
          </cell>
          <cell r="E168" t="str">
            <v>G3PREMAL</v>
          </cell>
          <cell r="F168" t="str">
            <v/>
          </cell>
          <cell r="G168" t="str">
            <v>Storage - New Office</v>
          </cell>
          <cell r="H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row>
        <row r="169">
          <cell r="A169">
            <v>1500043</v>
          </cell>
          <cell r="B169" t="str">
            <v>1500043</v>
          </cell>
          <cell r="C169" t="str">
            <v>0</v>
          </cell>
          <cell r="D169" t="str">
            <v>15000</v>
          </cell>
          <cell r="E169" t="str">
            <v>G3PREMAL</v>
          </cell>
          <cell r="F169" t="str">
            <v/>
          </cell>
          <cell r="G169" t="str">
            <v>Partition - New Office</v>
          </cell>
          <cell r="H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row>
        <row r="170">
          <cell r="A170">
            <v>1500044</v>
          </cell>
          <cell r="B170" t="str">
            <v>1500044</v>
          </cell>
          <cell r="C170" t="str">
            <v>0</v>
          </cell>
          <cell r="D170" t="str">
            <v>15000</v>
          </cell>
          <cell r="E170" t="str">
            <v>G3PREMAL</v>
          </cell>
          <cell r="F170" t="str">
            <v/>
          </cell>
          <cell r="G170" t="str">
            <v>Storage - Conference</v>
          </cell>
          <cell r="H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row>
        <row r="171">
          <cell r="A171">
            <v>1600000</v>
          </cell>
          <cell r="B171" t="str">
            <v>1600000</v>
          </cell>
          <cell r="C171" t="str">
            <v>0</v>
          </cell>
          <cell r="D171" t="str">
            <v>16000</v>
          </cell>
          <cell r="E171" t="str">
            <v>TCSADMIN</v>
          </cell>
          <cell r="F171" t="str">
            <v/>
          </cell>
          <cell r="G171" t="str">
            <v>OFFICE EQUIPMENTS</v>
          </cell>
          <cell r="K171">
            <v>0</v>
          </cell>
          <cell r="L171">
            <v>0</v>
          </cell>
          <cell r="M171">
            <v>-2941.21</v>
          </cell>
          <cell r="N171">
            <v>0</v>
          </cell>
          <cell r="O171">
            <v>0</v>
          </cell>
          <cell r="P171">
            <v>0</v>
          </cell>
          <cell r="Q171">
            <v>0</v>
          </cell>
          <cell r="R171">
            <v>0</v>
          </cell>
          <cell r="S171">
            <v>0</v>
          </cell>
          <cell r="T171">
            <v>0</v>
          </cell>
          <cell r="U171">
            <v>0</v>
          </cell>
          <cell r="V171">
            <v>-1136</v>
          </cell>
          <cell r="W171">
            <v>0</v>
          </cell>
          <cell r="X171">
            <v>0</v>
          </cell>
          <cell r="Y171">
            <v>0</v>
          </cell>
          <cell r="Z171">
            <v>0</v>
          </cell>
          <cell r="AA171">
            <v>0</v>
          </cell>
          <cell r="AB171">
            <v>0</v>
          </cell>
          <cell r="AC171">
            <v>0</v>
          </cell>
          <cell r="AD171">
            <v>0</v>
          </cell>
          <cell r="AE171">
            <v>0</v>
          </cell>
          <cell r="AF171">
            <v>0</v>
          </cell>
        </row>
        <row r="172">
          <cell r="A172">
            <v>1600000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row>
        <row r="173">
          <cell r="A173">
            <v>1600000</v>
          </cell>
          <cell r="H173">
            <v>11108</v>
          </cell>
          <cell r="I173">
            <v>11108</v>
          </cell>
          <cell r="K173">
            <v>0</v>
          </cell>
          <cell r="L173">
            <v>0</v>
          </cell>
          <cell r="M173">
            <v>-4077.21</v>
          </cell>
          <cell r="N173">
            <v>0</v>
          </cell>
          <cell r="O173">
            <v>0</v>
          </cell>
          <cell r="P173">
            <v>0</v>
          </cell>
          <cell r="Q173">
            <v>0</v>
          </cell>
          <cell r="R173">
            <v>0</v>
          </cell>
          <cell r="S173">
            <v>0</v>
          </cell>
          <cell r="T173">
            <v>0</v>
          </cell>
          <cell r="U173">
            <v>0</v>
          </cell>
          <cell r="V173">
            <v>-977.98</v>
          </cell>
          <cell r="W173">
            <v>0</v>
          </cell>
          <cell r="X173">
            <v>0</v>
          </cell>
          <cell r="Y173">
            <v>0</v>
          </cell>
          <cell r="Z173">
            <v>0</v>
          </cell>
          <cell r="AA173">
            <v>0</v>
          </cell>
          <cell r="AB173">
            <v>0</v>
          </cell>
          <cell r="AC173">
            <v>0</v>
          </cell>
          <cell r="AD173">
            <v>0</v>
          </cell>
          <cell r="AE173">
            <v>0</v>
          </cell>
          <cell r="AF173">
            <v>0</v>
          </cell>
        </row>
        <row r="174">
          <cell r="A174">
            <v>1600000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row>
        <row r="175">
          <cell r="A175">
            <v>1600001</v>
          </cell>
          <cell r="B175" t="str">
            <v>1600001</v>
          </cell>
          <cell r="C175" t="str">
            <v>0</v>
          </cell>
          <cell r="D175" t="str">
            <v>16000</v>
          </cell>
          <cell r="E175" t="str">
            <v>TCSADMIN</v>
          </cell>
          <cell r="F175" t="str">
            <v/>
          </cell>
          <cell r="G175" t="str">
            <v>OFFICE EQUIPMENTS</v>
          </cell>
          <cell r="K175">
            <v>0</v>
          </cell>
          <cell r="L175">
            <v>0</v>
          </cell>
          <cell r="M175">
            <v>-1580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row>
        <row r="176">
          <cell r="A176">
            <v>1600001</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row>
        <row r="177">
          <cell r="A177">
            <v>1600001</v>
          </cell>
          <cell r="H177">
            <v>1580</v>
          </cell>
          <cell r="I177">
            <v>1580</v>
          </cell>
          <cell r="K177">
            <v>0</v>
          </cell>
          <cell r="L177">
            <v>0</v>
          </cell>
          <cell r="M177">
            <v>-1580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row>
        <row r="178">
          <cell r="A178">
            <v>1600001</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row>
        <row r="179">
          <cell r="A179">
            <v>1600002</v>
          </cell>
          <cell r="B179" t="str">
            <v>1600002</v>
          </cell>
          <cell r="C179" t="str">
            <v>0</v>
          </cell>
          <cell r="D179" t="str">
            <v>16000</v>
          </cell>
          <cell r="E179" t="str">
            <v>TCSADMIN</v>
          </cell>
          <cell r="F179" t="str">
            <v>G3PREMAL</v>
          </cell>
          <cell r="G179" t="str">
            <v>REFRIGERATOR</v>
          </cell>
          <cell r="K179">
            <v>0</v>
          </cell>
          <cell r="L179">
            <v>0</v>
          </cell>
          <cell r="M179">
            <v>-416.16</v>
          </cell>
          <cell r="N179">
            <v>0</v>
          </cell>
          <cell r="O179">
            <v>0</v>
          </cell>
          <cell r="P179">
            <v>0</v>
          </cell>
          <cell r="Q179">
            <v>0</v>
          </cell>
          <cell r="R179">
            <v>0</v>
          </cell>
          <cell r="S179">
            <v>0</v>
          </cell>
          <cell r="T179">
            <v>0</v>
          </cell>
          <cell r="U179">
            <v>0</v>
          </cell>
          <cell r="V179">
            <v>-776.71</v>
          </cell>
          <cell r="W179">
            <v>0</v>
          </cell>
          <cell r="X179">
            <v>0</v>
          </cell>
          <cell r="Y179">
            <v>0</v>
          </cell>
          <cell r="Z179">
            <v>0</v>
          </cell>
          <cell r="AA179">
            <v>0</v>
          </cell>
          <cell r="AB179">
            <v>0</v>
          </cell>
          <cell r="AC179">
            <v>0</v>
          </cell>
          <cell r="AD179">
            <v>0</v>
          </cell>
          <cell r="AE179">
            <v>0</v>
          </cell>
          <cell r="AF179">
            <v>0</v>
          </cell>
        </row>
        <row r="180">
          <cell r="A180">
            <v>1600002</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row>
        <row r="181">
          <cell r="A181">
            <v>1600002</v>
          </cell>
          <cell r="H181">
            <v>6000</v>
          </cell>
          <cell r="I181">
            <v>6000</v>
          </cell>
          <cell r="K181">
            <v>0</v>
          </cell>
          <cell r="L181">
            <v>0</v>
          </cell>
          <cell r="M181">
            <v>-1192.8699999999999</v>
          </cell>
          <cell r="N181">
            <v>0</v>
          </cell>
          <cell r="O181">
            <v>0</v>
          </cell>
          <cell r="P181">
            <v>0</v>
          </cell>
          <cell r="Q181">
            <v>0</v>
          </cell>
          <cell r="R181">
            <v>0</v>
          </cell>
          <cell r="S181">
            <v>0</v>
          </cell>
          <cell r="T181">
            <v>0</v>
          </cell>
          <cell r="U181">
            <v>0</v>
          </cell>
          <cell r="V181">
            <v>-668.67</v>
          </cell>
          <cell r="W181">
            <v>0</v>
          </cell>
          <cell r="X181">
            <v>0</v>
          </cell>
          <cell r="Y181">
            <v>0</v>
          </cell>
          <cell r="Z181">
            <v>0</v>
          </cell>
          <cell r="AA181">
            <v>0</v>
          </cell>
          <cell r="AB181">
            <v>0</v>
          </cell>
          <cell r="AC181">
            <v>0</v>
          </cell>
          <cell r="AD181">
            <v>0</v>
          </cell>
          <cell r="AE181">
            <v>0</v>
          </cell>
          <cell r="AF181">
            <v>0</v>
          </cell>
        </row>
        <row r="182">
          <cell r="A182">
            <v>1600002</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row>
        <row r="183">
          <cell r="A183">
            <v>1600003</v>
          </cell>
          <cell r="B183" t="str">
            <v>1600003</v>
          </cell>
          <cell r="C183" t="str">
            <v>0</v>
          </cell>
          <cell r="D183" t="str">
            <v>16000</v>
          </cell>
          <cell r="E183" t="str">
            <v>TCSADMIN</v>
          </cell>
          <cell r="F183" t="str">
            <v/>
          </cell>
          <cell r="G183" t="str">
            <v>REFRIGERATOR</v>
          </cell>
          <cell r="K183">
            <v>0</v>
          </cell>
          <cell r="L183">
            <v>0</v>
          </cell>
          <cell r="M183">
            <v>-1919</v>
          </cell>
          <cell r="N183">
            <v>0</v>
          </cell>
          <cell r="O183">
            <v>0</v>
          </cell>
          <cell r="P183">
            <v>0</v>
          </cell>
          <cell r="Q183">
            <v>0</v>
          </cell>
          <cell r="R183">
            <v>0</v>
          </cell>
          <cell r="S183">
            <v>0</v>
          </cell>
          <cell r="T183">
            <v>0</v>
          </cell>
          <cell r="U183">
            <v>0</v>
          </cell>
          <cell r="V183">
            <v>-825</v>
          </cell>
          <cell r="W183">
            <v>0</v>
          </cell>
          <cell r="X183">
            <v>0</v>
          </cell>
          <cell r="Y183">
            <v>0</v>
          </cell>
          <cell r="Z183">
            <v>0</v>
          </cell>
          <cell r="AA183">
            <v>0</v>
          </cell>
          <cell r="AB183">
            <v>0</v>
          </cell>
          <cell r="AC183">
            <v>0</v>
          </cell>
          <cell r="AD183">
            <v>0</v>
          </cell>
          <cell r="AE183">
            <v>0</v>
          </cell>
          <cell r="AF183">
            <v>0</v>
          </cell>
        </row>
        <row r="184">
          <cell r="A184">
            <v>1600003</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row>
        <row r="185">
          <cell r="A185">
            <v>1600003</v>
          </cell>
          <cell r="H185">
            <v>7850</v>
          </cell>
          <cell r="I185">
            <v>7850</v>
          </cell>
          <cell r="K185">
            <v>0</v>
          </cell>
          <cell r="L185">
            <v>0</v>
          </cell>
          <cell r="M185">
            <v>-2744</v>
          </cell>
          <cell r="N185">
            <v>0</v>
          </cell>
          <cell r="O185">
            <v>0</v>
          </cell>
          <cell r="P185">
            <v>0</v>
          </cell>
          <cell r="Q185">
            <v>0</v>
          </cell>
          <cell r="R185">
            <v>0</v>
          </cell>
          <cell r="S185">
            <v>0</v>
          </cell>
          <cell r="T185">
            <v>0</v>
          </cell>
          <cell r="U185">
            <v>0</v>
          </cell>
          <cell r="V185">
            <v>-710.24</v>
          </cell>
          <cell r="W185">
            <v>0</v>
          </cell>
          <cell r="X185">
            <v>0</v>
          </cell>
          <cell r="Y185">
            <v>0</v>
          </cell>
          <cell r="Z185">
            <v>0</v>
          </cell>
          <cell r="AA185">
            <v>0</v>
          </cell>
          <cell r="AB185">
            <v>0</v>
          </cell>
          <cell r="AC185">
            <v>0</v>
          </cell>
          <cell r="AD185">
            <v>0</v>
          </cell>
          <cell r="AE185">
            <v>0</v>
          </cell>
          <cell r="AF185">
            <v>0</v>
          </cell>
        </row>
        <row r="186">
          <cell r="A186">
            <v>1600003</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row>
        <row r="187">
          <cell r="A187">
            <v>1600004</v>
          </cell>
          <cell r="B187" t="str">
            <v>1600004</v>
          </cell>
          <cell r="C187" t="str">
            <v>0</v>
          </cell>
          <cell r="D187" t="str">
            <v>16000</v>
          </cell>
          <cell r="E187" t="str">
            <v>TCSADMIN</v>
          </cell>
          <cell r="F187" t="str">
            <v/>
          </cell>
          <cell r="G187" t="str">
            <v>LIGHTINING ARRESTOR</v>
          </cell>
          <cell r="H187">
            <v>13920</v>
          </cell>
          <cell r="K187">
            <v>0</v>
          </cell>
          <cell r="L187">
            <v>0</v>
          </cell>
          <cell r="M187">
            <v>-944</v>
          </cell>
          <cell r="N187">
            <v>0</v>
          </cell>
          <cell r="O187">
            <v>0</v>
          </cell>
          <cell r="P187">
            <v>0</v>
          </cell>
          <cell r="Q187">
            <v>0</v>
          </cell>
          <cell r="R187">
            <v>0</v>
          </cell>
          <cell r="S187">
            <v>0</v>
          </cell>
          <cell r="T187">
            <v>0</v>
          </cell>
          <cell r="U187">
            <v>0</v>
          </cell>
          <cell r="V187">
            <v>-1804.96</v>
          </cell>
          <cell r="W187">
            <v>0</v>
          </cell>
          <cell r="X187">
            <v>0</v>
          </cell>
          <cell r="Y187">
            <v>0</v>
          </cell>
          <cell r="Z187">
            <v>0</v>
          </cell>
          <cell r="AA187">
            <v>0</v>
          </cell>
          <cell r="AB187">
            <v>0</v>
          </cell>
          <cell r="AC187">
            <v>0</v>
          </cell>
          <cell r="AD187">
            <v>0</v>
          </cell>
          <cell r="AE187">
            <v>0</v>
          </cell>
          <cell r="AF187">
            <v>0</v>
          </cell>
        </row>
        <row r="188">
          <cell r="A188">
            <v>1600004</v>
          </cell>
          <cell r="H188">
            <v>13920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row>
        <row r="189">
          <cell r="A189">
            <v>1600004</v>
          </cell>
          <cell r="H189">
            <v>13920</v>
          </cell>
          <cell r="I189">
            <v>13920</v>
          </cell>
          <cell r="K189">
            <v>0</v>
          </cell>
          <cell r="L189">
            <v>0</v>
          </cell>
          <cell r="M189">
            <v>-2748.96</v>
          </cell>
          <cell r="N189">
            <v>0</v>
          </cell>
          <cell r="O189">
            <v>0</v>
          </cell>
          <cell r="P189">
            <v>0</v>
          </cell>
          <cell r="Q189">
            <v>0</v>
          </cell>
          <cell r="R189">
            <v>0</v>
          </cell>
          <cell r="S189">
            <v>0</v>
          </cell>
          <cell r="T189">
            <v>0</v>
          </cell>
          <cell r="U189">
            <v>0</v>
          </cell>
          <cell r="V189">
            <v>-1553.89</v>
          </cell>
          <cell r="W189">
            <v>0</v>
          </cell>
          <cell r="X189">
            <v>0</v>
          </cell>
          <cell r="Y189">
            <v>0</v>
          </cell>
          <cell r="Z189">
            <v>0</v>
          </cell>
          <cell r="AA189">
            <v>0</v>
          </cell>
          <cell r="AB189">
            <v>0</v>
          </cell>
          <cell r="AC189">
            <v>0</v>
          </cell>
          <cell r="AD189">
            <v>0</v>
          </cell>
          <cell r="AE189">
            <v>0</v>
          </cell>
          <cell r="AF189">
            <v>0</v>
          </cell>
        </row>
        <row r="190">
          <cell r="A190">
            <v>1600004</v>
          </cell>
          <cell r="H190">
            <v>13920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row>
        <row r="191">
          <cell r="A191">
            <v>1600005</v>
          </cell>
          <cell r="B191" t="str">
            <v>1600005</v>
          </cell>
          <cell r="C191" t="str">
            <v>0</v>
          </cell>
          <cell r="D191" t="str">
            <v>16000</v>
          </cell>
          <cell r="E191" t="str">
            <v>TCSADMIN</v>
          </cell>
          <cell r="F191" t="str">
            <v/>
          </cell>
          <cell r="G191" t="str">
            <v>FAN TUBE</v>
          </cell>
          <cell r="K191">
            <v>0</v>
          </cell>
          <cell r="L191">
            <v>0</v>
          </cell>
          <cell r="M191">
            <v>-1662</v>
          </cell>
          <cell r="N191">
            <v>0</v>
          </cell>
          <cell r="O191">
            <v>0</v>
          </cell>
          <cell r="P191">
            <v>0</v>
          </cell>
          <cell r="Q191">
            <v>0</v>
          </cell>
          <cell r="R191">
            <v>0</v>
          </cell>
          <cell r="S191">
            <v>0</v>
          </cell>
          <cell r="T191">
            <v>0</v>
          </cell>
          <cell r="U191">
            <v>0</v>
          </cell>
          <cell r="V191">
            <v>-714.7</v>
          </cell>
          <cell r="W191">
            <v>0</v>
          </cell>
          <cell r="X191">
            <v>0</v>
          </cell>
          <cell r="Y191">
            <v>0</v>
          </cell>
          <cell r="Z191">
            <v>0</v>
          </cell>
          <cell r="AA191">
            <v>0</v>
          </cell>
          <cell r="AB191">
            <v>0</v>
          </cell>
          <cell r="AC191">
            <v>0</v>
          </cell>
          <cell r="AD191">
            <v>0</v>
          </cell>
          <cell r="AE191">
            <v>0</v>
          </cell>
          <cell r="AF191">
            <v>0</v>
          </cell>
        </row>
        <row r="192">
          <cell r="A192">
            <v>1600005</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row>
        <row r="193">
          <cell r="A193">
            <v>1600005</v>
          </cell>
          <cell r="H193">
            <v>6800</v>
          </cell>
          <cell r="I193">
            <v>6800</v>
          </cell>
          <cell r="K193">
            <v>0</v>
          </cell>
          <cell r="L193">
            <v>0</v>
          </cell>
          <cell r="M193">
            <v>-2376.6999999999998</v>
          </cell>
          <cell r="N193">
            <v>0</v>
          </cell>
          <cell r="O193">
            <v>0</v>
          </cell>
          <cell r="P193">
            <v>0</v>
          </cell>
          <cell r="Q193">
            <v>0</v>
          </cell>
          <cell r="R193">
            <v>0</v>
          </cell>
          <cell r="S193">
            <v>0</v>
          </cell>
          <cell r="T193">
            <v>0</v>
          </cell>
          <cell r="U193">
            <v>0</v>
          </cell>
          <cell r="V193">
            <v>-615.28</v>
          </cell>
          <cell r="W193">
            <v>0</v>
          </cell>
          <cell r="X193">
            <v>0</v>
          </cell>
          <cell r="Y193">
            <v>0</v>
          </cell>
          <cell r="Z193">
            <v>0</v>
          </cell>
          <cell r="AA193">
            <v>0</v>
          </cell>
          <cell r="AB193">
            <v>0</v>
          </cell>
          <cell r="AC193">
            <v>0</v>
          </cell>
          <cell r="AD193">
            <v>0</v>
          </cell>
          <cell r="AE193">
            <v>0</v>
          </cell>
          <cell r="AF193">
            <v>0</v>
          </cell>
        </row>
        <row r="194">
          <cell r="A194">
            <v>1600005</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row>
        <row r="195">
          <cell r="A195">
            <v>1600006</v>
          </cell>
          <cell r="B195" t="str">
            <v>1600006</v>
          </cell>
          <cell r="C195" t="str">
            <v>0</v>
          </cell>
          <cell r="D195" t="str">
            <v>16000</v>
          </cell>
          <cell r="E195" t="str">
            <v>TCSADMIN</v>
          </cell>
          <cell r="F195" t="str">
            <v/>
          </cell>
          <cell r="G195" t="str">
            <v>STOREWEL</v>
          </cell>
          <cell r="K195">
            <v>0</v>
          </cell>
          <cell r="L195">
            <v>0</v>
          </cell>
          <cell r="M195">
            <v>-1545</v>
          </cell>
          <cell r="N195">
            <v>0</v>
          </cell>
          <cell r="O195">
            <v>0</v>
          </cell>
          <cell r="P195">
            <v>0</v>
          </cell>
          <cell r="Q195">
            <v>0</v>
          </cell>
          <cell r="R195">
            <v>0</v>
          </cell>
          <cell r="S195">
            <v>0</v>
          </cell>
          <cell r="T195">
            <v>0</v>
          </cell>
          <cell r="U195">
            <v>0</v>
          </cell>
          <cell r="V195">
            <v>-1273.46</v>
          </cell>
          <cell r="W195">
            <v>0</v>
          </cell>
          <cell r="X195">
            <v>0</v>
          </cell>
          <cell r="Y195">
            <v>0</v>
          </cell>
          <cell r="Z195">
            <v>0</v>
          </cell>
          <cell r="AA195">
            <v>0</v>
          </cell>
          <cell r="AB195">
            <v>0</v>
          </cell>
          <cell r="AC195">
            <v>0</v>
          </cell>
          <cell r="AD195">
            <v>0</v>
          </cell>
          <cell r="AE195">
            <v>0</v>
          </cell>
          <cell r="AF195">
            <v>0</v>
          </cell>
        </row>
        <row r="196">
          <cell r="A196">
            <v>1600006</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197">
          <cell r="A197">
            <v>1600006</v>
          </cell>
          <cell r="H197">
            <v>10700</v>
          </cell>
          <cell r="I197">
            <v>10700</v>
          </cell>
          <cell r="K197">
            <v>0</v>
          </cell>
          <cell r="L197">
            <v>0</v>
          </cell>
          <cell r="M197">
            <v>-2818.46</v>
          </cell>
          <cell r="N197">
            <v>0</v>
          </cell>
          <cell r="O197">
            <v>0</v>
          </cell>
          <cell r="P197">
            <v>0</v>
          </cell>
          <cell r="Q197">
            <v>0</v>
          </cell>
          <cell r="R197">
            <v>0</v>
          </cell>
          <cell r="S197">
            <v>0</v>
          </cell>
          <cell r="T197">
            <v>0</v>
          </cell>
          <cell r="U197">
            <v>0</v>
          </cell>
          <cell r="V197">
            <v>-1096.32</v>
          </cell>
          <cell r="W197">
            <v>0</v>
          </cell>
          <cell r="X197">
            <v>0</v>
          </cell>
          <cell r="Y197">
            <v>0</v>
          </cell>
          <cell r="Z197">
            <v>0</v>
          </cell>
          <cell r="AA197">
            <v>0</v>
          </cell>
          <cell r="AB197">
            <v>0</v>
          </cell>
          <cell r="AC197">
            <v>0</v>
          </cell>
          <cell r="AD197">
            <v>0</v>
          </cell>
          <cell r="AE197">
            <v>0</v>
          </cell>
          <cell r="AF197">
            <v>0</v>
          </cell>
        </row>
        <row r="198">
          <cell r="A198">
            <v>1600006</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row>
        <row r="199">
          <cell r="A199">
            <v>1600007</v>
          </cell>
          <cell r="B199" t="str">
            <v>1600007</v>
          </cell>
          <cell r="C199" t="str">
            <v>0</v>
          </cell>
          <cell r="D199" t="str">
            <v>16000</v>
          </cell>
          <cell r="E199" t="str">
            <v>TCSADMIN</v>
          </cell>
          <cell r="F199" t="str">
            <v/>
          </cell>
          <cell r="G199" t="str">
            <v>VERTICAL BLIND</v>
          </cell>
          <cell r="K199">
            <v>0</v>
          </cell>
          <cell r="L199">
            <v>0</v>
          </cell>
          <cell r="M199">
            <v>-3665</v>
          </cell>
          <cell r="N199">
            <v>0</v>
          </cell>
          <cell r="O199">
            <v>0</v>
          </cell>
          <cell r="P199">
            <v>0</v>
          </cell>
          <cell r="Q199">
            <v>0</v>
          </cell>
          <cell r="R199">
            <v>0</v>
          </cell>
          <cell r="S199">
            <v>0</v>
          </cell>
          <cell r="T199">
            <v>0</v>
          </cell>
          <cell r="U199">
            <v>0</v>
          </cell>
          <cell r="V199">
            <v>-3146.58</v>
          </cell>
          <cell r="W199">
            <v>0</v>
          </cell>
          <cell r="X199">
            <v>0</v>
          </cell>
          <cell r="Y199">
            <v>0</v>
          </cell>
          <cell r="Z199">
            <v>0</v>
          </cell>
          <cell r="AA199">
            <v>0</v>
          </cell>
          <cell r="AB199">
            <v>0</v>
          </cell>
          <cell r="AC199">
            <v>0</v>
          </cell>
          <cell r="AD199">
            <v>0</v>
          </cell>
          <cell r="AE199">
            <v>0</v>
          </cell>
          <cell r="AF199">
            <v>0</v>
          </cell>
        </row>
        <row r="200">
          <cell r="A200">
            <v>1600007</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row>
        <row r="201">
          <cell r="A201">
            <v>1600007</v>
          </cell>
          <cell r="H201">
            <v>26286</v>
          </cell>
          <cell r="I201">
            <v>26286</v>
          </cell>
          <cell r="K201">
            <v>0</v>
          </cell>
          <cell r="L201">
            <v>0</v>
          </cell>
          <cell r="M201">
            <v>-6811.58</v>
          </cell>
          <cell r="N201">
            <v>0</v>
          </cell>
          <cell r="O201">
            <v>0</v>
          </cell>
          <cell r="P201">
            <v>0</v>
          </cell>
          <cell r="Q201">
            <v>0</v>
          </cell>
          <cell r="R201">
            <v>0</v>
          </cell>
          <cell r="S201">
            <v>0</v>
          </cell>
          <cell r="T201">
            <v>0</v>
          </cell>
          <cell r="U201">
            <v>0</v>
          </cell>
          <cell r="V201">
            <v>-2708.89</v>
          </cell>
          <cell r="W201">
            <v>0</v>
          </cell>
          <cell r="X201">
            <v>0</v>
          </cell>
          <cell r="Y201">
            <v>0</v>
          </cell>
          <cell r="Z201">
            <v>0</v>
          </cell>
          <cell r="AA201">
            <v>0</v>
          </cell>
          <cell r="AB201">
            <v>0</v>
          </cell>
          <cell r="AC201">
            <v>0</v>
          </cell>
          <cell r="AD201">
            <v>0</v>
          </cell>
          <cell r="AE201">
            <v>0</v>
          </cell>
          <cell r="AF201">
            <v>0</v>
          </cell>
        </row>
        <row r="202">
          <cell r="A202">
            <v>1600007</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row>
        <row r="203">
          <cell r="A203">
            <v>1600008</v>
          </cell>
          <cell r="B203" t="str">
            <v>1600008</v>
          </cell>
          <cell r="C203" t="str">
            <v>0</v>
          </cell>
          <cell r="D203" t="str">
            <v>16000</v>
          </cell>
          <cell r="E203" t="str">
            <v>TCSADMIN</v>
          </cell>
          <cell r="F203" t="str">
            <v/>
          </cell>
          <cell r="G203" t="str">
            <v>REFRIGERATOR</v>
          </cell>
          <cell r="K203">
            <v>0</v>
          </cell>
          <cell r="L203">
            <v>0</v>
          </cell>
          <cell r="M203">
            <v>-1808</v>
          </cell>
          <cell r="N203">
            <v>0</v>
          </cell>
          <cell r="O203">
            <v>0</v>
          </cell>
          <cell r="P203">
            <v>0</v>
          </cell>
          <cell r="Q203">
            <v>0</v>
          </cell>
          <cell r="R203">
            <v>0</v>
          </cell>
          <cell r="S203">
            <v>0</v>
          </cell>
          <cell r="T203">
            <v>0</v>
          </cell>
          <cell r="U203">
            <v>0</v>
          </cell>
          <cell r="V203">
            <v>-777.85</v>
          </cell>
          <cell r="W203">
            <v>0</v>
          </cell>
          <cell r="X203">
            <v>0</v>
          </cell>
          <cell r="Y203">
            <v>0</v>
          </cell>
          <cell r="Z203">
            <v>0</v>
          </cell>
          <cell r="AA203">
            <v>0</v>
          </cell>
          <cell r="AB203">
            <v>0</v>
          </cell>
          <cell r="AC203">
            <v>0</v>
          </cell>
          <cell r="AD203">
            <v>0</v>
          </cell>
          <cell r="AE203">
            <v>0</v>
          </cell>
          <cell r="AF203">
            <v>0</v>
          </cell>
        </row>
        <row r="204">
          <cell r="A204">
            <v>1600008</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row>
        <row r="205">
          <cell r="A205">
            <v>1600008</v>
          </cell>
          <cell r="H205">
            <v>7400</v>
          </cell>
          <cell r="I205">
            <v>7400</v>
          </cell>
          <cell r="K205">
            <v>0</v>
          </cell>
          <cell r="L205">
            <v>0</v>
          </cell>
          <cell r="M205">
            <v>-2585.85</v>
          </cell>
          <cell r="N205">
            <v>0</v>
          </cell>
          <cell r="O205">
            <v>0</v>
          </cell>
          <cell r="P205">
            <v>0</v>
          </cell>
          <cell r="Q205">
            <v>0</v>
          </cell>
          <cell r="R205">
            <v>0</v>
          </cell>
          <cell r="S205">
            <v>0</v>
          </cell>
          <cell r="T205">
            <v>0</v>
          </cell>
          <cell r="U205">
            <v>0</v>
          </cell>
          <cell r="V205">
            <v>-669.65</v>
          </cell>
          <cell r="W205">
            <v>0</v>
          </cell>
          <cell r="X205">
            <v>0</v>
          </cell>
          <cell r="Y205">
            <v>0</v>
          </cell>
          <cell r="Z205">
            <v>0</v>
          </cell>
          <cell r="AA205">
            <v>0</v>
          </cell>
          <cell r="AB205">
            <v>0</v>
          </cell>
          <cell r="AC205">
            <v>0</v>
          </cell>
          <cell r="AD205">
            <v>0</v>
          </cell>
          <cell r="AE205">
            <v>0</v>
          </cell>
          <cell r="AF205">
            <v>0</v>
          </cell>
        </row>
        <row r="206">
          <cell r="A206">
            <v>1600008</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row>
        <row r="207">
          <cell r="A207">
            <v>1600009</v>
          </cell>
          <cell r="B207" t="str">
            <v>1600009</v>
          </cell>
          <cell r="C207" t="str">
            <v>0</v>
          </cell>
          <cell r="D207" t="str">
            <v>16000</v>
          </cell>
          <cell r="E207" t="str">
            <v>TCSADMIN</v>
          </cell>
          <cell r="F207" t="str">
            <v/>
          </cell>
          <cell r="G207" t="str">
            <v>FIRE EXTINGUISHER</v>
          </cell>
          <cell r="H207">
            <v>31680</v>
          </cell>
          <cell r="K207">
            <v>0</v>
          </cell>
          <cell r="L207">
            <v>0</v>
          </cell>
          <cell r="M207">
            <v>-9345.75</v>
          </cell>
          <cell r="N207">
            <v>0</v>
          </cell>
          <cell r="O207">
            <v>0</v>
          </cell>
          <cell r="P207">
            <v>0</v>
          </cell>
          <cell r="Q207">
            <v>0</v>
          </cell>
          <cell r="R207">
            <v>0</v>
          </cell>
          <cell r="S207">
            <v>0</v>
          </cell>
          <cell r="T207">
            <v>0</v>
          </cell>
          <cell r="U207">
            <v>0</v>
          </cell>
          <cell r="V207">
            <v>-3106.69</v>
          </cell>
          <cell r="W207">
            <v>0</v>
          </cell>
          <cell r="X207">
            <v>0</v>
          </cell>
          <cell r="Y207">
            <v>0</v>
          </cell>
          <cell r="Z207">
            <v>0</v>
          </cell>
          <cell r="AA207">
            <v>0</v>
          </cell>
          <cell r="AB207">
            <v>0</v>
          </cell>
          <cell r="AC207">
            <v>0</v>
          </cell>
          <cell r="AD207">
            <v>0</v>
          </cell>
          <cell r="AE207">
            <v>0</v>
          </cell>
          <cell r="AF207">
            <v>0</v>
          </cell>
        </row>
        <row r="208">
          <cell r="A208">
            <v>1600009</v>
          </cell>
          <cell r="H208">
            <v>31680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row>
        <row r="209">
          <cell r="A209">
            <v>1600009</v>
          </cell>
          <cell r="H209">
            <v>31680</v>
          </cell>
          <cell r="K209">
            <v>0</v>
          </cell>
          <cell r="L209">
            <v>0</v>
          </cell>
          <cell r="M209">
            <v>-12452.44</v>
          </cell>
          <cell r="N209">
            <v>0</v>
          </cell>
          <cell r="O209">
            <v>0</v>
          </cell>
          <cell r="P209">
            <v>0</v>
          </cell>
          <cell r="Q209">
            <v>0</v>
          </cell>
          <cell r="R209">
            <v>0</v>
          </cell>
          <cell r="S209">
            <v>0</v>
          </cell>
          <cell r="T209">
            <v>0</v>
          </cell>
          <cell r="U209">
            <v>0</v>
          </cell>
          <cell r="V209">
            <v>-2674.55</v>
          </cell>
          <cell r="W209">
            <v>0</v>
          </cell>
          <cell r="X209">
            <v>0</v>
          </cell>
          <cell r="Y209">
            <v>0</v>
          </cell>
          <cell r="Z209">
            <v>0</v>
          </cell>
          <cell r="AA209">
            <v>0</v>
          </cell>
          <cell r="AB209">
            <v>0</v>
          </cell>
          <cell r="AC209">
            <v>0</v>
          </cell>
          <cell r="AD209">
            <v>0</v>
          </cell>
          <cell r="AE209">
            <v>0</v>
          </cell>
          <cell r="AF209">
            <v>0</v>
          </cell>
        </row>
        <row r="210">
          <cell r="A210">
            <v>1600009</v>
          </cell>
          <cell r="H210">
            <v>31680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row>
        <row r="211">
          <cell r="A211">
            <v>1600010</v>
          </cell>
          <cell r="B211" t="str">
            <v>1600010</v>
          </cell>
          <cell r="C211" t="str">
            <v>0</v>
          </cell>
          <cell r="D211" t="str">
            <v>16000</v>
          </cell>
          <cell r="E211" t="str">
            <v>TCSADMIN</v>
          </cell>
          <cell r="F211" t="str">
            <v/>
          </cell>
          <cell r="G211" t="str">
            <v>WATER PURIFIER</v>
          </cell>
          <cell r="H211">
            <v>18000</v>
          </cell>
          <cell r="K211">
            <v>0</v>
          </cell>
          <cell r="L211">
            <v>0</v>
          </cell>
          <cell r="M211">
            <v>-5416.85</v>
          </cell>
          <cell r="N211">
            <v>0</v>
          </cell>
          <cell r="O211">
            <v>0</v>
          </cell>
          <cell r="P211">
            <v>0</v>
          </cell>
          <cell r="Q211">
            <v>0</v>
          </cell>
          <cell r="R211">
            <v>0</v>
          </cell>
          <cell r="S211">
            <v>0</v>
          </cell>
          <cell r="T211">
            <v>0</v>
          </cell>
          <cell r="U211">
            <v>0</v>
          </cell>
          <cell r="V211">
            <v>-1750.32</v>
          </cell>
          <cell r="W211">
            <v>0</v>
          </cell>
          <cell r="X211">
            <v>0</v>
          </cell>
          <cell r="Y211">
            <v>0</v>
          </cell>
          <cell r="Z211">
            <v>0</v>
          </cell>
          <cell r="AA211">
            <v>0</v>
          </cell>
          <cell r="AB211">
            <v>0</v>
          </cell>
          <cell r="AC211">
            <v>0</v>
          </cell>
          <cell r="AD211">
            <v>0</v>
          </cell>
          <cell r="AE211">
            <v>0</v>
          </cell>
          <cell r="AF211">
            <v>0</v>
          </cell>
        </row>
        <row r="212">
          <cell r="A212">
            <v>1600010</v>
          </cell>
          <cell r="H212">
            <v>18000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row>
        <row r="213">
          <cell r="A213">
            <v>1600010</v>
          </cell>
          <cell r="H213">
            <v>18000</v>
          </cell>
          <cell r="K213">
            <v>0</v>
          </cell>
          <cell r="L213">
            <v>0</v>
          </cell>
          <cell r="M213">
            <v>-7167.17</v>
          </cell>
          <cell r="N213">
            <v>0</v>
          </cell>
          <cell r="O213">
            <v>0</v>
          </cell>
          <cell r="P213">
            <v>0</v>
          </cell>
          <cell r="Q213">
            <v>0</v>
          </cell>
          <cell r="R213">
            <v>0</v>
          </cell>
          <cell r="S213">
            <v>0</v>
          </cell>
          <cell r="T213">
            <v>0</v>
          </cell>
          <cell r="U213">
            <v>0</v>
          </cell>
          <cell r="V213">
            <v>-1506.85</v>
          </cell>
          <cell r="W213">
            <v>0</v>
          </cell>
          <cell r="X213">
            <v>0</v>
          </cell>
          <cell r="Y213">
            <v>0</v>
          </cell>
          <cell r="Z213">
            <v>0</v>
          </cell>
          <cell r="AA213">
            <v>0</v>
          </cell>
          <cell r="AB213">
            <v>0</v>
          </cell>
          <cell r="AC213">
            <v>0</v>
          </cell>
          <cell r="AD213">
            <v>0</v>
          </cell>
          <cell r="AE213">
            <v>0</v>
          </cell>
          <cell r="AF213">
            <v>0</v>
          </cell>
        </row>
        <row r="214">
          <cell r="A214">
            <v>1600010</v>
          </cell>
          <cell r="H214">
            <v>18000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row>
        <row r="215">
          <cell r="A215">
            <v>1600011</v>
          </cell>
          <cell r="B215" t="str">
            <v>1600011</v>
          </cell>
          <cell r="C215" t="str">
            <v>0</v>
          </cell>
          <cell r="D215" t="str">
            <v>16000</v>
          </cell>
          <cell r="E215" t="str">
            <v>TCSADMIN</v>
          </cell>
          <cell r="F215" t="str">
            <v/>
          </cell>
          <cell r="G215" t="str">
            <v>VACCUME CLEANER</v>
          </cell>
          <cell r="H215">
            <v>6490</v>
          </cell>
          <cell r="K215">
            <v>0</v>
          </cell>
          <cell r="L215">
            <v>0</v>
          </cell>
          <cell r="M215">
            <v>-2151.0500000000002</v>
          </cell>
          <cell r="N215">
            <v>0</v>
          </cell>
          <cell r="O215">
            <v>0</v>
          </cell>
          <cell r="P215">
            <v>0</v>
          </cell>
          <cell r="Q215">
            <v>0</v>
          </cell>
          <cell r="R215">
            <v>0</v>
          </cell>
          <cell r="S215">
            <v>0</v>
          </cell>
          <cell r="T215">
            <v>0</v>
          </cell>
          <cell r="U215">
            <v>0</v>
          </cell>
          <cell r="V215">
            <v>-603.54999999999995</v>
          </cell>
          <cell r="W215">
            <v>0</v>
          </cell>
          <cell r="X215">
            <v>0</v>
          </cell>
          <cell r="Y215">
            <v>0</v>
          </cell>
          <cell r="Z215">
            <v>0</v>
          </cell>
          <cell r="AA215">
            <v>0</v>
          </cell>
          <cell r="AB215">
            <v>0</v>
          </cell>
          <cell r="AC215">
            <v>0</v>
          </cell>
          <cell r="AD215">
            <v>0</v>
          </cell>
          <cell r="AE215">
            <v>0</v>
          </cell>
          <cell r="AF215">
            <v>0</v>
          </cell>
        </row>
        <row r="216">
          <cell r="A216">
            <v>1600011</v>
          </cell>
          <cell r="H216">
            <v>6490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row>
        <row r="217">
          <cell r="A217">
            <v>1600011</v>
          </cell>
          <cell r="H217">
            <v>6490</v>
          </cell>
          <cell r="K217">
            <v>0</v>
          </cell>
          <cell r="L217">
            <v>0</v>
          </cell>
          <cell r="M217">
            <v>-2754.6</v>
          </cell>
          <cell r="N217">
            <v>0</v>
          </cell>
          <cell r="O217">
            <v>0</v>
          </cell>
          <cell r="P217">
            <v>0</v>
          </cell>
          <cell r="Q217">
            <v>0</v>
          </cell>
          <cell r="R217">
            <v>0</v>
          </cell>
          <cell r="S217">
            <v>0</v>
          </cell>
          <cell r="T217">
            <v>0</v>
          </cell>
          <cell r="U217">
            <v>0</v>
          </cell>
          <cell r="V217">
            <v>-519.59</v>
          </cell>
          <cell r="W217">
            <v>0</v>
          </cell>
          <cell r="X217">
            <v>0</v>
          </cell>
          <cell r="Y217">
            <v>0</v>
          </cell>
          <cell r="Z217">
            <v>0</v>
          </cell>
          <cell r="AA217">
            <v>0</v>
          </cell>
          <cell r="AB217">
            <v>0</v>
          </cell>
          <cell r="AC217">
            <v>0</v>
          </cell>
          <cell r="AD217">
            <v>0</v>
          </cell>
          <cell r="AE217">
            <v>0</v>
          </cell>
          <cell r="AF217">
            <v>0</v>
          </cell>
        </row>
        <row r="218">
          <cell r="A218">
            <v>1600011</v>
          </cell>
          <cell r="H218">
            <v>6490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row>
        <row r="219">
          <cell r="A219">
            <v>1600012</v>
          </cell>
          <cell r="B219" t="str">
            <v>1600012</v>
          </cell>
          <cell r="C219" t="str">
            <v>0</v>
          </cell>
          <cell r="D219" t="str">
            <v>16000</v>
          </cell>
          <cell r="E219" t="str">
            <v>TCSADMIN</v>
          </cell>
          <cell r="F219" t="str">
            <v/>
          </cell>
          <cell r="G219" t="str">
            <v>VACCUME CLEANER</v>
          </cell>
          <cell r="H219">
            <v>6390</v>
          </cell>
          <cell r="K219">
            <v>0</v>
          </cell>
          <cell r="L219">
            <v>0</v>
          </cell>
          <cell r="M219">
            <v>-1700.99</v>
          </cell>
          <cell r="N219">
            <v>0</v>
          </cell>
          <cell r="O219">
            <v>0</v>
          </cell>
          <cell r="P219">
            <v>0</v>
          </cell>
          <cell r="Q219">
            <v>0</v>
          </cell>
          <cell r="R219">
            <v>0</v>
          </cell>
          <cell r="S219">
            <v>0</v>
          </cell>
          <cell r="T219">
            <v>0</v>
          </cell>
          <cell r="U219">
            <v>0</v>
          </cell>
          <cell r="V219">
            <v>-652.24</v>
          </cell>
          <cell r="W219">
            <v>0</v>
          </cell>
          <cell r="X219">
            <v>0</v>
          </cell>
          <cell r="Y219">
            <v>0</v>
          </cell>
          <cell r="Z219">
            <v>0</v>
          </cell>
          <cell r="AA219">
            <v>0</v>
          </cell>
          <cell r="AB219">
            <v>0</v>
          </cell>
          <cell r="AC219">
            <v>0</v>
          </cell>
          <cell r="AD219">
            <v>0</v>
          </cell>
          <cell r="AE219">
            <v>0</v>
          </cell>
          <cell r="AF219">
            <v>0</v>
          </cell>
        </row>
        <row r="220">
          <cell r="A220">
            <v>1600012</v>
          </cell>
          <cell r="H220">
            <v>6390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row>
        <row r="221">
          <cell r="A221">
            <v>1600012</v>
          </cell>
          <cell r="H221">
            <v>6390</v>
          </cell>
          <cell r="K221">
            <v>0</v>
          </cell>
          <cell r="L221">
            <v>0</v>
          </cell>
          <cell r="M221">
            <v>-2353.23</v>
          </cell>
          <cell r="N221">
            <v>0</v>
          </cell>
          <cell r="O221">
            <v>0</v>
          </cell>
          <cell r="P221">
            <v>0</v>
          </cell>
          <cell r="Q221">
            <v>0</v>
          </cell>
          <cell r="R221">
            <v>0</v>
          </cell>
          <cell r="S221">
            <v>0</v>
          </cell>
          <cell r="T221">
            <v>0</v>
          </cell>
          <cell r="U221">
            <v>0</v>
          </cell>
          <cell r="V221">
            <v>-561.51</v>
          </cell>
          <cell r="W221">
            <v>0</v>
          </cell>
          <cell r="X221">
            <v>0</v>
          </cell>
          <cell r="Y221">
            <v>0</v>
          </cell>
          <cell r="Z221">
            <v>0</v>
          </cell>
          <cell r="AA221">
            <v>0</v>
          </cell>
          <cell r="AB221">
            <v>0</v>
          </cell>
          <cell r="AC221">
            <v>0</v>
          </cell>
          <cell r="AD221">
            <v>0</v>
          </cell>
          <cell r="AE221">
            <v>0</v>
          </cell>
          <cell r="AF221">
            <v>0</v>
          </cell>
        </row>
        <row r="222">
          <cell r="A222">
            <v>1600012</v>
          </cell>
          <cell r="H222">
            <v>6390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row>
        <row r="223">
          <cell r="A223">
            <v>1600013</v>
          </cell>
          <cell r="B223" t="str">
            <v>1600013</v>
          </cell>
          <cell r="C223" t="str">
            <v>0</v>
          </cell>
          <cell r="D223" t="str">
            <v>16000</v>
          </cell>
          <cell r="E223" t="str">
            <v>TCSADMIN</v>
          </cell>
          <cell r="F223" t="str">
            <v/>
          </cell>
          <cell r="G223" t="str">
            <v>XEROX MACHINE</v>
          </cell>
          <cell r="H223">
            <v>189929</v>
          </cell>
          <cell r="K223">
            <v>0</v>
          </cell>
          <cell r="L223">
            <v>0</v>
          </cell>
          <cell r="M223">
            <v>-77426.5</v>
          </cell>
          <cell r="N223">
            <v>0</v>
          </cell>
          <cell r="O223">
            <v>0</v>
          </cell>
          <cell r="P223">
            <v>0</v>
          </cell>
          <cell r="Q223">
            <v>0</v>
          </cell>
          <cell r="R223">
            <v>0</v>
          </cell>
          <cell r="S223">
            <v>0</v>
          </cell>
          <cell r="T223">
            <v>0</v>
          </cell>
          <cell r="U223">
            <v>0</v>
          </cell>
          <cell r="V223">
            <v>-15649.1</v>
          </cell>
          <cell r="W223">
            <v>0</v>
          </cell>
          <cell r="X223">
            <v>0</v>
          </cell>
          <cell r="Y223">
            <v>0</v>
          </cell>
          <cell r="Z223">
            <v>0</v>
          </cell>
          <cell r="AA223">
            <v>0</v>
          </cell>
          <cell r="AB223">
            <v>0</v>
          </cell>
          <cell r="AC223">
            <v>0</v>
          </cell>
          <cell r="AD223">
            <v>0</v>
          </cell>
          <cell r="AE223">
            <v>0</v>
          </cell>
          <cell r="AF223">
            <v>0</v>
          </cell>
        </row>
        <row r="224">
          <cell r="A224">
            <v>1600013</v>
          </cell>
          <cell r="H224">
            <v>189929</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row>
        <row r="225">
          <cell r="A225">
            <v>1600013</v>
          </cell>
          <cell r="H225">
            <v>189929</v>
          </cell>
          <cell r="K225">
            <v>0</v>
          </cell>
          <cell r="L225">
            <v>0</v>
          </cell>
          <cell r="M225">
            <v>-93075.6</v>
          </cell>
          <cell r="N225">
            <v>0</v>
          </cell>
          <cell r="O225">
            <v>0</v>
          </cell>
          <cell r="P225">
            <v>0</v>
          </cell>
          <cell r="Q225">
            <v>0</v>
          </cell>
          <cell r="R225">
            <v>0</v>
          </cell>
          <cell r="S225">
            <v>0</v>
          </cell>
          <cell r="T225">
            <v>0</v>
          </cell>
          <cell r="U225">
            <v>0</v>
          </cell>
          <cell r="V225">
            <v>-13472.31</v>
          </cell>
          <cell r="W225">
            <v>0</v>
          </cell>
          <cell r="X225">
            <v>0</v>
          </cell>
          <cell r="Y225">
            <v>0</v>
          </cell>
          <cell r="Z225">
            <v>0</v>
          </cell>
          <cell r="AA225">
            <v>0</v>
          </cell>
          <cell r="AB225">
            <v>0</v>
          </cell>
          <cell r="AC225">
            <v>0</v>
          </cell>
          <cell r="AD225">
            <v>0</v>
          </cell>
          <cell r="AE225">
            <v>0</v>
          </cell>
          <cell r="AF225">
            <v>0</v>
          </cell>
        </row>
        <row r="226">
          <cell r="A226">
            <v>1600013</v>
          </cell>
          <cell r="H226">
            <v>189929</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row>
        <row r="227">
          <cell r="A227">
            <v>1600014</v>
          </cell>
          <cell r="B227" t="str">
            <v>1600014</v>
          </cell>
          <cell r="C227" t="str">
            <v>0</v>
          </cell>
          <cell r="D227" t="str">
            <v>16000</v>
          </cell>
          <cell r="E227" t="str">
            <v>TCSADMIN</v>
          </cell>
          <cell r="F227" t="str">
            <v/>
          </cell>
          <cell r="G227" t="str">
            <v>VENDING MACHINE</v>
          </cell>
          <cell r="H227">
            <v>21760</v>
          </cell>
          <cell r="K227">
            <v>0</v>
          </cell>
          <cell r="L227">
            <v>0</v>
          </cell>
          <cell r="M227">
            <v>-8357.65</v>
          </cell>
          <cell r="N227">
            <v>0</v>
          </cell>
          <cell r="O227">
            <v>0</v>
          </cell>
          <cell r="P227">
            <v>0</v>
          </cell>
          <cell r="Q227">
            <v>0</v>
          </cell>
          <cell r="R227">
            <v>0</v>
          </cell>
          <cell r="S227">
            <v>0</v>
          </cell>
          <cell r="T227">
            <v>0</v>
          </cell>
          <cell r="U227">
            <v>0</v>
          </cell>
          <cell r="V227">
            <v>-1864.27</v>
          </cell>
          <cell r="W227">
            <v>0</v>
          </cell>
          <cell r="X227">
            <v>0</v>
          </cell>
          <cell r="Y227">
            <v>0</v>
          </cell>
          <cell r="Z227">
            <v>0</v>
          </cell>
          <cell r="AA227">
            <v>0</v>
          </cell>
          <cell r="AB227">
            <v>0</v>
          </cell>
          <cell r="AC227">
            <v>0</v>
          </cell>
          <cell r="AD227">
            <v>0</v>
          </cell>
          <cell r="AE227">
            <v>0</v>
          </cell>
          <cell r="AF227">
            <v>0</v>
          </cell>
        </row>
        <row r="228">
          <cell r="A228">
            <v>1600014</v>
          </cell>
          <cell r="H228">
            <v>21760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row>
        <row r="229">
          <cell r="A229">
            <v>1600014</v>
          </cell>
          <cell r="H229">
            <v>21760</v>
          </cell>
          <cell r="K229">
            <v>0</v>
          </cell>
          <cell r="L229">
            <v>0</v>
          </cell>
          <cell r="M229">
            <v>-10221.92</v>
          </cell>
          <cell r="N229">
            <v>0</v>
          </cell>
          <cell r="O229">
            <v>0</v>
          </cell>
          <cell r="P229">
            <v>0</v>
          </cell>
          <cell r="Q229">
            <v>0</v>
          </cell>
          <cell r="R229">
            <v>0</v>
          </cell>
          <cell r="S229">
            <v>0</v>
          </cell>
          <cell r="T229">
            <v>0</v>
          </cell>
          <cell r="U229">
            <v>0</v>
          </cell>
          <cell r="V229">
            <v>-1604.95</v>
          </cell>
          <cell r="W229">
            <v>0</v>
          </cell>
          <cell r="X229">
            <v>0</v>
          </cell>
          <cell r="Y229">
            <v>0</v>
          </cell>
          <cell r="Z229">
            <v>0</v>
          </cell>
          <cell r="AA229">
            <v>0</v>
          </cell>
          <cell r="AB229">
            <v>0</v>
          </cell>
          <cell r="AC229">
            <v>0</v>
          </cell>
          <cell r="AD229">
            <v>0</v>
          </cell>
          <cell r="AE229">
            <v>0</v>
          </cell>
          <cell r="AF229">
            <v>0</v>
          </cell>
        </row>
        <row r="230">
          <cell r="A230">
            <v>1600014</v>
          </cell>
          <cell r="H230">
            <v>21760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row>
        <row r="231">
          <cell r="A231">
            <v>1600015</v>
          </cell>
          <cell r="B231" t="str">
            <v>1600015</v>
          </cell>
          <cell r="C231" t="str">
            <v>0</v>
          </cell>
          <cell r="D231" t="str">
            <v>16000</v>
          </cell>
          <cell r="E231" t="str">
            <v>TCSADMIN</v>
          </cell>
          <cell r="F231" t="str">
            <v/>
          </cell>
          <cell r="G231" t="str">
            <v>WATER  COOLER</v>
          </cell>
          <cell r="H231">
            <v>10500</v>
          </cell>
          <cell r="K231">
            <v>0</v>
          </cell>
          <cell r="L231">
            <v>0</v>
          </cell>
          <cell r="M231">
            <v>-4259</v>
          </cell>
          <cell r="N231">
            <v>0</v>
          </cell>
          <cell r="O231">
            <v>0</v>
          </cell>
          <cell r="P231">
            <v>0</v>
          </cell>
          <cell r="Q231">
            <v>0</v>
          </cell>
          <cell r="R231">
            <v>0</v>
          </cell>
          <cell r="S231">
            <v>0</v>
          </cell>
          <cell r="T231">
            <v>0</v>
          </cell>
          <cell r="U231">
            <v>0</v>
          </cell>
          <cell r="V231">
            <v>-868.12</v>
          </cell>
          <cell r="W231">
            <v>0</v>
          </cell>
          <cell r="X231">
            <v>0</v>
          </cell>
          <cell r="Y231">
            <v>0</v>
          </cell>
          <cell r="Z231">
            <v>0</v>
          </cell>
          <cell r="AA231">
            <v>0</v>
          </cell>
          <cell r="AB231">
            <v>0</v>
          </cell>
          <cell r="AC231">
            <v>0</v>
          </cell>
          <cell r="AD231">
            <v>0</v>
          </cell>
          <cell r="AE231">
            <v>0</v>
          </cell>
          <cell r="AF231">
            <v>0</v>
          </cell>
        </row>
        <row r="232">
          <cell r="A232">
            <v>1600015</v>
          </cell>
          <cell r="H232">
            <v>10500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row>
        <row r="233">
          <cell r="A233">
            <v>1600015</v>
          </cell>
          <cell r="H233">
            <v>10500</v>
          </cell>
          <cell r="K233">
            <v>0</v>
          </cell>
          <cell r="L233">
            <v>0</v>
          </cell>
          <cell r="M233">
            <v>-5127.12</v>
          </cell>
          <cell r="N233">
            <v>0</v>
          </cell>
          <cell r="O233">
            <v>0</v>
          </cell>
          <cell r="P233">
            <v>0</v>
          </cell>
          <cell r="Q233">
            <v>0</v>
          </cell>
          <cell r="R233">
            <v>0</v>
          </cell>
          <cell r="S233">
            <v>0</v>
          </cell>
          <cell r="T233">
            <v>0</v>
          </cell>
          <cell r="U233">
            <v>0</v>
          </cell>
          <cell r="V233">
            <v>-747.37</v>
          </cell>
          <cell r="W233">
            <v>0</v>
          </cell>
          <cell r="X233">
            <v>0</v>
          </cell>
          <cell r="Y233">
            <v>0</v>
          </cell>
          <cell r="Z233">
            <v>0</v>
          </cell>
          <cell r="AA233">
            <v>0</v>
          </cell>
          <cell r="AB233">
            <v>0</v>
          </cell>
          <cell r="AC233">
            <v>0</v>
          </cell>
          <cell r="AD233">
            <v>0</v>
          </cell>
          <cell r="AE233">
            <v>0</v>
          </cell>
          <cell r="AF233">
            <v>0</v>
          </cell>
        </row>
        <row r="234">
          <cell r="A234">
            <v>1600015</v>
          </cell>
          <cell r="H234">
            <v>10500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row>
        <row r="235">
          <cell r="A235">
            <v>1600016</v>
          </cell>
          <cell r="B235" t="str">
            <v>1600016</v>
          </cell>
          <cell r="C235" t="str">
            <v>0</v>
          </cell>
          <cell r="D235" t="str">
            <v>16000</v>
          </cell>
          <cell r="E235" t="str">
            <v>TCSADMIN</v>
          </cell>
          <cell r="F235" t="str">
            <v/>
          </cell>
          <cell r="G235" t="str">
            <v>RACK - A'BAD</v>
          </cell>
          <cell r="H235">
            <v>16273</v>
          </cell>
          <cell r="K235">
            <v>0</v>
          </cell>
          <cell r="L235">
            <v>0</v>
          </cell>
          <cell r="M235">
            <v>-5522.23</v>
          </cell>
          <cell r="N235">
            <v>0</v>
          </cell>
          <cell r="O235">
            <v>0</v>
          </cell>
          <cell r="P235">
            <v>0</v>
          </cell>
          <cell r="Q235">
            <v>0</v>
          </cell>
          <cell r="R235">
            <v>0</v>
          </cell>
          <cell r="S235">
            <v>0</v>
          </cell>
          <cell r="T235">
            <v>0</v>
          </cell>
          <cell r="U235">
            <v>0</v>
          </cell>
          <cell r="V235">
            <v>-1495.43</v>
          </cell>
          <cell r="W235">
            <v>0</v>
          </cell>
          <cell r="X235">
            <v>0</v>
          </cell>
          <cell r="Y235">
            <v>0</v>
          </cell>
          <cell r="Z235">
            <v>0</v>
          </cell>
          <cell r="AA235">
            <v>0</v>
          </cell>
          <cell r="AB235">
            <v>0</v>
          </cell>
          <cell r="AC235">
            <v>0</v>
          </cell>
          <cell r="AD235">
            <v>0</v>
          </cell>
          <cell r="AE235">
            <v>0</v>
          </cell>
          <cell r="AF235">
            <v>0</v>
          </cell>
        </row>
        <row r="236">
          <cell r="A236">
            <v>1600016</v>
          </cell>
          <cell r="H236">
            <v>16273</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row>
        <row r="237">
          <cell r="A237">
            <v>1600016</v>
          </cell>
          <cell r="H237">
            <v>16273</v>
          </cell>
          <cell r="K237">
            <v>0</v>
          </cell>
          <cell r="L237">
            <v>0</v>
          </cell>
          <cell r="M237">
            <v>-7017.66</v>
          </cell>
          <cell r="N237">
            <v>0</v>
          </cell>
          <cell r="O237">
            <v>0</v>
          </cell>
          <cell r="P237">
            <v>0</v>
          </cell>
          <cell r="Q237">
            <v>0</v>
          </cell>
          <cell r="R237">
            <v>0</v>
          </cell>
          <cell r="S237">
            <v>0</v>
          </cell>
          <cell r="T237">
            <v>0</v>
          </cell>
          <cell r="U237">
            <v>0</v>
          </cell>
          <cell r="V237">
            <v>-1287.42</v>
          </cell>
          <cell r="W237">
            <v>0</v>
          </cell>
          <cell r="X237">
            <v>0</v>
          </cell>
          <cell r="Y237">
            <v>0</v>
          </cell>
          <cell r="Z237">
            <v>0</v>
          </cell>
          <cell r="AA237">
            <v>0</v>
          </cell>
          <cell r="AB237">
            <v>0</v>
          </cell>
          <cell r="AC237">
            <v>0</v>
          </cell>
          <cell r="AD237">
            <v>0</v>
          </cell>
          <cell r="AE237">
            <v>0</v>
          </cell>
          <cell r="AF237">
            <v>0</v>
          </cell>
        </row>
        <row r="238">
          <cell r="A238">
            <v>1600016</v>
          </cell>
          <cell r="H238">
            <v>16273</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row>
        <row r="239">
          <cell r="A239">
            <v>1600017</v>
          </cell>
          <cell r="B239" t="str">
            <v>1600017</v>
          </cell>
          <cell r="C239" t="str">
            <v>0</v>
          </cell>
          <cell r="D239" t="str">
            <v>16000</v>
          </cell>
          <cell r="E239" t="str">
            <v>TCSADMIN</v>
          </cell>
          <cell r="F239" t="str">
            <v/>
          </cell>
          <cell r="G239" t="str">
            <v>RACK - A'BAD</v>
          </cell>
          <cell r="H239">
            <v>19490</v>
          </cell>
          <cell r="K239">
            <v>0</v>
          </cell>
          <cell r="L239">
            <v>0</v>
          </cell>
          <cell r="M239">
            <v>-6235</v>
          </cell>
          <cell r="N239">
            <v>0</v>
          </cell>
          <cell r="O239">
            <v>0</v>
          </cell>
          <cell r="P239">
            <v>0</v>
          </cell>
          <cell r="Q239">
            <v>0</v>
          </cell>
          <cell r="R239">
            <v>0</v>
          </cell>
          <cell r="S239">
            <v>0</v>
          </cell>
          <cell r="T239">
            <v>0</v>
          </cell>
          <cell r="U239">
            <v>0</v>
          </cell>
          <cell r="V239">
            <v>-1843.77</v>
          </cell>
          <cell r="W239">
            <v>0</v>
          </cell>
          <cell r="X239">
            <v>0</v>
          </cell>
          <cell r="Y239">
            <v>0</v>
          </cell>
          <cell r="Z239">
            <v>0</v>
          </cell>
          <cell r="AA239">
            <v>0</v>
          </cell>
          <cell r="AB239">
            <v>0</v>
          </cell>
          <cell r="AC239">
            <v>0</v>
          </cell>
          <cell r="AD239">
            <v>0</v>
          </cell>
          <cell r="AE239">
            <v>0</v>
          </cell>
          <cell r="AF239">
            <v>0</v>
          </cell>
        </row>
        <row r="240">
          <cell r="A240">
            <v>1600017</v>
          </cell>
          <cell r="H240">
            <v>19490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row>
        <row r="241">
          <cell r="A241">
            <v>1600017</v>
          </cell>
          <cell r="H241">
            <v>19490</v>
          </cell>
          <cell r="K241">
            <v>0</v>
          </cell>
          <cell r="L241">
            <v>0</v>
          </cell>
          <cell r="M241">
            <v>-8078.77</v>
          </cell>
          <cell r="N241">
            <v>0</v>
          </cell>
          <cell r="O241">
            <v>0</v>
          </cell>
          <cell r="P241">
            <v>0</v>
          </cell>
          <cell r="Q241">
            <v>0</v>
          </cell>
          <cell r="R241">
            <v>0</v>
          </cell>
          <cell r="S241">
            <v>0</v>
          </cell>
          <cell r="T241">
            <v>0</v>
          </cell>
          <cell r="U241">
            <v>0</v>
          </cell>
          <cell r="V241">
            <v>-1587.3</v>
          </cell>
          <cell r="W241">
            <v>0</v>
          </cell>
          <cell r="X241">
            <v>0</v>
          </cell>
          <cell r="Y241">
            <v>0</v>
          </cell>
          <cell r="Z241">
            <v>0</v>
          </cell>
          <cell r="AA241">
            <v>0</v>
          </cell>
          <cell r="AB241">
            <v>0</v>
          </cell>
          <cell r="AC241">
            <v>0</v>
          </cell>
          <cell r="AD241">
            <v>0</v>
          </cell>
          <cell r="AE241">
            <v>0</v>
          </cell>
          <cell r="AF241">
            <v>0</v>
          </cell>
        </row>
        <row r="242">
          <cell r="A242">
            <v>1600017</v>
          </cell>
          <cell r="H242">
            <v>19490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row>
        <row r="243">
          <cell r="A243">
            <v>1600018</v>
          </cell>
          <cell r="B243" t="str">
            <v>1600018</v>
          </cell>
          <cell r="C243" t="str">
            <v>0</v>
          </cell>
          <cell r="D243" t="str">
            <v>16000</v>
          </cell>
          <cell r="E243" t="str">
            <v>TCSADMIN</v>
          </cell>
          <cell r="F243" t="str">
            <v/>
          </cell>
          <cell r="G243" t="str">
            <v>RACK - A'BAD</v>
          </cell>
          <cell r="H243">
            <v>17280</v>
          </cell>
          <cell r="K243">
            <v>0</v>
          </cell>
          <cell r="L243">
            <v>0</v>
          </cell>
          <cell r="M243">
            <v>-3872</v>
          </cell>
          <cell r="N243">
            <v>0</v>
          </cell>
          <cell r="O243">
            <v>0</v>
          </cell>
          <cell r="P243">
            <v>0</v>
          </cell>
          <cell r="Q243">
            <v>0</v>
          </cell>
          <cell r="R243">
            <v>0</v>
          </cell>
          <cell r="S243">
            <v>0</v>
          </cell>
          <cell r="T243">
            <v>0</v>
          </cell>
          <cell r="U243">
            <v>0</v>
          </cell>
          <cell r="V243">
            <v>-1865.05</v>
          </cell>
          <cell r="W243">
            <v>0</v>
          </cell>
          <cell r="X243">
            <v>0</v>
          </cell>
          <cell r="Y243">
            <v>0</v>
          </cell>
          <cell r="Z243">
            <v>0</v>
          </cell>
          <cell r="AA243">
            <v>0</v>
          </cell>
          <cell r="AB243">
            <v>0</v>
          </cell>
          <cell r="AC243">
            <v>0</v>
          </cell>
          <cell r="AD243">
            <v>0</v>
          </cell>
          <cell r="AE243">
            <v>0</v>
          </cell>
          <cell r="AF243">
            <v>0</v>
          </cell>
        </row>
        <row r="244">
          <cell r="A244">
            <v>1600018</v>
          </cell>
          <cell r="H244">
            <v>17280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row>
        <row r="245">
          <cell r="A245">
            <v>1600018</v>
          </cell>
          <cell r="H245">
            <v>17280</v>
          </cell>
          <cell r="K245">
            <v>0</v>
          </cell>
          <cell r="L245">
            <v>0</v>
          </cell>
          <cell r="M245">
            <v>-5737.05</v>
          </cell>
          <cell r="N245">
            <v>0</v>
          </cell>
          <cell r="O245">
            <v>0</v>
          </cell>
          <cell r="P245">
            <v>0</v>
          </cell>
          <cell r="Q245">
            <v>0</v>
          </cell>
          <cell r="R245">
            <v>0</v>
          </cell>
          <cell r="S245">
            <v>0</v>
          </cell>
          <cell r="T245">
            <v>0</v>
          </cell>
          <cell r="U245">
            <v>0</v>
          </cell>
          <cell r="V245">
            <v>-1605.62</v>
          </cell>
          <cell r="W245">
            <v>0</v>
          </cell>
          <cell r="X245">
            <v>0</v>
          </cell>
          <cell r="Y245">
            <v>0</v>
          </cell>
          <cell r="Z245">
            <v>0</v>
          </cell>
          <cell r="AA245">
            <v>0</v>
          </cell>
          <cell r="AB245">
            <v>0</v>
          </cell>
          <cell r="AC245">
            <v>0</v>
          </cell>
          <cell r="AD245">
            <v>0</v>
          </cell>
          <cell r="AE245">
            <v>0</v>
          </cell>
          <cell r="AF245">
            <v>0</v>
          </cell>
        </row>
        <row r="246">
          <cell r="A246">
            <v>1600018</v>
          </cell>
          <cell r="H246">
            <v>17280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row>
        <row r="247">
          <cell r="A247">
            <v>1600019</v>
          </cell>
          <cell r="B247" t="str">
            <v>1600019</v>
          </cell>
          <cell r="C247" t="str">
            <v>0</v>
          </cell>
          <cell r="D247" t="str">
            <v>16000</v>
          </cell>
          <cell r="E247" t="str">
            <v>TCSADMIN</v>
          </cell>
          <cell r="F247" t="str">
            <v/>
          </cell>
          <cell r="G247" t="str">
            <v>EPBX</v>
          </cell>
          <cell r="H247">
            <v>10365</v>
          </cell>
          <cell r="K247">
            <v>0</v>
          </cell>
          <cell r="L247">
            <v>0</v>
          </cell>
          <cell r="M247">
            <v>-2759</v>
          </cell>
          <cell r="N247">
            <v>0</v>
          </cell>
          <cell r="O247">
            <v>0</v>
          </cell>
          <cell r="P247">
            <v>0</v>
          </cell>
          <cell r="Q247">
            <v>0</v>
          </cell>
          <cell r="R247">
            <v>0</v>
          </cell>
          <cell r="S247">
            <v>0</v>
          </cell>
          <cell r="T247">
            <v>0</v>
          </cell>
          <cell r="U247">
            <v>0</v>
          </cell>
          <cell r="V247">
            <v>-1057.99</v>
          </cell>
          <cell r="W247">
            <v>0</v>
          </cell>
          <cell r="X247">
            <v>0</v>
          </cell>
          <cell r="Y247">
            <v>0</v>
          </cell>
          <cell r="Z247">
            <v>0</v>
          </cell>
          <cell r="AA247">
            <v>0</v>
          </cell>
          <cell r="AB247">
            <v>0</v>
          </cell>
          <cell r="AC247">
            <v>0</v>
          </cell>
          <cell r="AD247">
            <v>0</v>
          </cell>
          <cell r="AE247">
            <v>0</v>
          </cell>
          <cell r="AF247">
            <v>0</v>
          </cell>
        </row>
        <row r="248">
          <cell r="A248">
            <v>1600019</v>
          </cell>
          <cell r="H248">
            <v>10365</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row>
        <row r="249">
          <cell r="A249">
            <v>1600019</v>
          </cell>
          <cell r="H249">
            <v>10365</v>
          </cell>
          <cell r="K249">
            <v>0</v>
          </cell>
          <cell r="L249">
            <v>0</v>
          </cell>
          <cell r="M249">
            <v>-3816.99</v>
          </cell>
          <cell r="N249">
            <v>0</v>
          </cell>
          <cell r="O249">
            <v>0</v>
          </cell>
          <cell r="P249">
            <v>0</v>
          </cell>
          <cell r="Q249">
            <v>0</v>
          </cell>
          <cell r="R249">
            <v>0</v>
          </cell>
          <cell r="S249">
            <v>0</v>
          </cell>
          <cell r="T249">
            <v>0</v>
          </cell>
          <cell r="U249">
            <v>0</v>
          </cell>
          <cell r="V249">
            <v>-910.83</v>
          </cell>
          <cell r="W249">
            <v>0</v>
          </cell>
          <cell r="X249">
            <v>0</v>
          </cell>
          <cell r="Y249">
            <v>0</v>
          </cell>
          <cell r="Z249">
            <v>0</v>
          </cell>
          <cell r="AA249">
            <v>0</v>
          </cell>
          <cell r="AB249">
            <v>0</v>
          </cell>
          <cell r="AC249">
            <v>0</v>
          </cell>
          <cell r="AD249">
            <v>0</v>
          </cell>
          <cell r="AE249">
            <v>0</v>
          </cell>
          <cell r="AF249">
            <v>0</v>
          </cell>
        </row>
        <row r="250">
          <cell r="A250">
            <v>1600019</v>
          </cell>
          <cell r="H250">
            <v>10365</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row>
        <row r="251">
          <cell r="A251">
            <v>1600020</v>
          </cell>
          <cell r="B251" t="str">
            <v>1600020</v>
          </cell>
          <cell r="C251" t="str">
            <v>0</v>
          </cell>
          <cell r="D251" t="str">
            <v>16000</v>
          </cell>
          <cell r="E251" t="str">
            <v>TCSADMIN</v>
          </cell>
          <cell r="F251" t="str">
            <v/>
          </cell>
          <cell r="G251" t="str">
            <v>WATER PURIFIER</v>
          </cell>
          <cell r="H251">
            <v>7590</v>
          </cell>
          <cell r="K251">
            <v>0</v>
          </cell>
          <cell r="L251">
            <v>0</v>
          </cell>
          <cell r="M251">
            <v>-2018</v>
          </cell>
          <cell r="N251">
            <v>0</v>
          </cell>
          <cell r="O251">
            <v>0</v>
          </cell>
          <cell r="P251">
            <v>0</v>
          </cell>
          <cell r="Q251">
            <v>0</v>
          </cell>
          <cell r="R251">
            <v>0</v>
          </cell>
          <cell r="S251">
            <v>0</v>
          </cell>
          <cell r="T251">
            <v>0</v>
          </cell>
          <cell r="U251">
            <v>0</v>
          </cell>
          <cell r="V251">
            <v>-775.07</v>
          </cell>
          <cell r="W251">
            <v>0</v>
          </cell>
          <cell r="X251">
            <v>0</v>
          </cell>
          <cell r="Y251">
            <v>0</v>
          </cell>
          <cell r="Z251">
            <v>0</v>
          </cell>
          <cell r="AA251">
            <v>0</v>
          </cell>
          <cell r="AB251">
            <v>0</v>
          </cell>
          <cell r="AC251">
            <v>0</v>
          </cell>
          <cell r="AD251">
            <v>0</v>
          </cell>
          <cell r="AE251">
            <v>0</v>
          </cell>
          <cell r="AF251">
            <v>0</v>
          </cell>
        </row>
        <row r="252">
          <cell r="A252">
            <v>1600020</v>
          </cell>
          <cell r="H252">
            <v>7590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row>
        <row r="253">
          <cell r="A253">
            <v>1600020</v>
          </cell>
          <cell r="H253">
            <v>7590</v>
          </cell>
          <cell r="K253">
            <v>0</v>
          </cell>
          <cell r="L253">
            <v>0</v>
          </cell>
          <cell r="M253">
            <v>-2793.07</v>
          </cell>
          <cell r="N253">
            <v>0</v>
          </cell>
          <cell r="O253">
            <v>0</v>
          </cell>
          <cell r="P253">
            <v>0</v>
          </cell>
          <cell r="Q253">
            <v>0</v>
          </cell>
          <cell r="R253">
            <v>0</v>
          </cell>
          <cell r="S253">
            <v>0</v>
          </cell>
          <cell r="T253">
            <v>0</v>
          </cell>
          <cell r="U253">
            <v>0</v>
          </cell>
          <cell r="V253">
            <v>-667.25</v>
          </cell>
          <cell r="W253">
            <v>0</v>
          </cell>
          <cell r="X253">
            <v>0</v>
          </cell>
          <cell r="Y253">
            <v>0</v>
          </cell>
          <cell r="Z253">
            <v>0</v>
          </cell>
          <cell r="AA253">
            <v>0</v>
          </cell>
          <cell r="AB253">
            <v>0</v>
          </cell>
          <cell r="AC253">
            <v>0</v>
          </cell>
          <cell r="AD253">
            <v>0</v>
          </cell>
          <cell r="AE253">
            <v>0</v>
          </cell>
          <cell r="AF253">
            <v>0</v>
          </cell>
        </row>
        <row r="254">
          <cell r="A254">
            <v>1600020</v>
          </cell>
          <cell r="H254">
            <v>7590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row>
        <row r="255">
          <cell r="A255">
            <v>1600021</v>
          </cell>
          <cell r="B255" t="str">
            <v>1600021</v>
          </cell>
          <cell r="C255" t="str">
            <v>0</v>
          </cell>
          <cell r="D255" t="str">
            <v>16000</v>
          </cell>
          <cell r="E255" t="str">
            <v>TCSADMIN</v>
          </cell>
          <cell r="F255" t="str">
            <v/>
          </cell>
          <cell r="G255" t="str">
            <v>REFRIGERATOR</v>
          </cell>
          <cell r="H255">
            <v>9890</v>
          </cell>
          <cell r="K255">
            <v>0</v>
          </cell>
          <cell r="L255">
            <v>0</v>
          </cell>
          <cell r="M255">
            <v>-2639</v>
          </cell>
          <cell r="N255">
            <v>0</v>
          </cell>
          <cell r="O255">
            <v>0</v>
          </cell>
          <cell r="P255">
            <v>0</v>
          </cell>
          <cell r="Q255">
            <v>0</v>
          </cell>
          <cell r="R255">
            <v>0</v>
          </cell>
          <cell r="S255">
            <v>0</v>
          </cell>
          <cell r="T255">
            <v>0</v>
          </cell>
          <cell r="U255">
            <v>0</v>
          </cell>
          <cell r="V255">
            <v>-1008.61</v>
          </cell>
          <cell r="W255">
            <v>0</v>
          </cell>
          <cell r="X255">
            <v>0</v>
          </cell>
          <cell r="Y255">
            <v>0</v>
          </cell>
          <cell r="Z255">
            <v>0</v>
          </cell>
          <cell r="AA255">
            <v>0</v>
          </cell>
          <cell r="AB255">
            <v>0</v>
          </cell>
          <cell r="AC255">
            <v>0</v>
          </cell>
          <cell r="AD255">
            <v>0</v>
          </cell>
          <cell r="AE255">
            <v>0</v>
          </cell>
          <cell r="AF255">
            <v>0</v>
          </cell>
        </row>
        <row r="256">
          <cell r="A256">
            <v>1600021</v>
          </cell>
          <cell r="H256">
            <v>9890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row>
        <row r="257">
          <cell r="A257">
            <v>1600021</v>
          </cell>
          <cell r="H257">
            <v>9890</v>
          </cell>
          <cell r="K257">
            <v>0</v>
          </cell>
          <cell r="L257">
            <v>0</v>
          </cell>
          <cell r="M257">
            <v>-3647.61</v>
          </cell>
          <cell r="N257">
            <v>0</v>
          </cell>
          <cell r="O257">
            <v>0</v>
          </cell>
          <cell r="P257">
            <v>0</v>
          </cell>
          <cell r="Q257">
            <v>0</v>
          </cell>
          <cell r="R257">
            <v>0</v>
          </cell>
          <cell r="S257">
            <v>0</v>
          </cell>
          <cell r="T257">
            <v>0</v>
          </cell>
          <cell r="U257">
            <v>0</v>
          </cell>
          <cell r="V257">
            <v>-868.32</v>
          </cell>
          <cell r="W257">
            <v>0</v>
          </cell>
          <cell r="X257">
            <v>0</v>
          </cell>
          <cell r="Y257">
            <v>0</v>
          </cell>
          <cell r="Z257">
            <v>0</v>
          </cell>
          <cell r="AA257">
            <v>0</v>
          </cell>
          <cell r="AB257">
            <v>0</v>
          </cell>
          <cell r="AC257">
            <v>0</v>
          </cell>
          <cell r="AD257">
            <v>0</v>
          </cell>
          <cell r="AE257">
            <v>0</v>
          </cell>
          <cell r="AF257">
            <v>0</v>
          </cell>
        </row>
        <row r="258">
          <cell r="A258">
            <v>1600021</v>
          </cell>
          <cell r="H258">
            <v>9890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row>
        <row r="259">
          <cell r="A259">
            <v>1600022</v>
          </cell>
          <cell r="B259" t="str">
            <v>1600022</v>
          </cell>
          <cell r="C259" t="str">
            <v>0</v>
          </cell>
          <cell r="D259" t="str">
            <v>16000</v>
          </cell>
          <cell r="E259" t="str">
            <v>TCSADMIN</v>
          </cell>
          <cell r="F259" t="str">
            <v/>
          </cell>
          <cell r="G259" t="str">
            <v>AIR CONDITION - RAJKOT</v>
          </cell>
          <cell r="H259">
            <v>46000</v>
          </cell>
          <cell r="K259">
            <v>0</v>
          </cell>
          <cell r="L259">
            <v>0</v>
          </cell>
          <cell r="M259">
            <v>-12206</v>
          </cell>
          <cell r="N259">
            <v>0</v>
          </cell>
          <cell r="O259">
            <v>0</v>
          </cell>
          <cell r="P259">
            <v>0</v>
          </cell>
          <cell r="Q259">
            <v>0</v>
          </cell>
          <cell r="R259">
            <v>0</v>
          </cell>
          <cell r="S259">
            <v>0</v>
          </cell>
          <cell r="T259">
            <v>0</v>
          </cell>
          <cell r="U259">
            <v>0</v>
          </cell>
          <cell r="V259">
            <v>-4700.75</v>
          </cell>
          <cell r="W259">
            <v>0</v>
          </cell>
          <cell r="X259">
            <v>0</v>
          </cell>
          <cell r="Y259">
            <v>0</v>
          </cell>
          <cell r="Z259">
            <v>0</v>
          </cell>
          <cell r="AA259">
            <v>0</v>
          </cell>
          <cell r="AB259">
            <v>0</v>
          </cell>
          <cell r="AC259">
            <v>0</v>
          </cell>
          <cell r="AD259">
            <v>0</v>
          </cell>
          <cell r="AE259">
            <v>0</v>
          </cell>
          <cell r="AF259">
            <v>0</v>
          </cell>
        </row>
        <row r="260">
          <cell r="A260">
            <v>1600022</v>
          </cell>
          <cell r="H260">
            <v>46000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row>
        <row r="261">
          <cell r="A261">
            <v>1600022</v>
          </cell>
          <cell r="H261">
            <v>46000</v>
          </cell>
          <cell r="K261">
            <v>0</v>
          </cell>
          <cell r="L261">
            <v>0</v>
          </cell>
          <cell r="M261">
            <v>-16906.75</v>
          </cell>
          <cell r="N261">
            <v>0</v>
          </cell>
          <cell r="O261">
            <v>0</v>
          </cell>
          <cell r="P261">
            <v>0</v>
          </cell>
          <cell r="Q261">
            <v>0</v>
          </cell>
          <cell r="R261">
            <v>0</v>
          </cell>
          <cell r="S261">
            <v>0</v>
          </cell>
          <cell r="T261">
            <v>0</v>
          </cell>
          <cell r="U261">
            <v>0</v>
          </cell>
          <cell r="V261">
            <v>-4046.87</v>
          </cell>
          <cell r="W261">
            <v>0</v>
          </cell>
          <cell r="X261">
            <v>0</v>
          </cell>
          <cell r="Y261">
            <v>0</v>
          </cell>
          <cell r="Z261">
            <v>0</v>
          </cell>
          <cell r="AA261">
            <v>0</v>
          </cell>
          <cell r="AB261">
            <v>0</v>
          </cell>
          <cell r="AC261">
            <v>0</v>
          </cell>
          <cell r="AD261">
            <v>0</v>
          </cell>
          <cell r="AE261">
            <v>0</v>
          </cell>
          <cell r="AF261">
            <v>0</v>
          </cell>
        </row>
        <row r="262">
          <cell r="A262">
            <v>1600022</v>
          </cell>
          <cell r="H262">
            <v>46000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row>
        <row r="263">
          <cell r="A263">
            <v>1600023</v>
          </cell>
          <cell r="B263" t="str">
            <v>1600023</v>
          </cell>
          <cell r="C263" t="str">
            <v>0</v>
          </cell>
          <cell r="D263" t="str">
            <v>16000</v>
          </cell>
          <cell r="E263" t="str">
            <v>TCSADMIN</v>
          </cell>
          <cell r="F263" t="str">
            <v/>
          </cell>
          <cell r="G263" t="str">
            <v>AIR CONDITIONER</v>
          </cell>
          <cell r="H263">
            <v>84671</v>
          </cell>
          <cell r="K263">
            <v>0</v>
          </cell>
          <cell r="L263">
            <v>0</v>
          </cell>
          <cell r="M263">
            <v>-31296.25</v>
          </cell>
          <cell r="N263">
            <v>0</v>
          </cell>
          <cell r="O263">
            <v>0</v>
          </cell>
          <cell r="P263">
            <v>0</v>
          </cell>
          <cell r="Q263">
            <v>0</v>
          </cell>
          <cell r="R263">
            <v>0</v>
          </cell>
          <cell r="S263">
            <v>0</v>
          </cell>
          <cell r="T263">
            <v>0</v>
          </cell>
          <cell r="U263">
            <v>0</v>
          </cell>
          <cell r="V263">
            <v>-7424.43</v>
          </cell>
          <cell r="W263">
            <v>0</v>
          </cell>
          <cell r="X263">
            <v>0</v>
          </cell>
          <cell r="Y263">
            <v>0</v>
          </cell>
          <cell r="Z263">
            <v>0</v>
          </cell>
          <cell r="AA263">
            <v>0</v>
          </cell>
          <cell r="AB263">
            <v>0</v>
          </cell>
          <cell r="AC263">
            <v>0</v>
          </cell>
          <cell r="AD263">
            <v>0</v>
          </cell>
          <cell r="AE263">
            <v>0</v>
          </cell>
          <cell r="AF263">
            <v>0</v>
          </cell>
        </row>
        <row r="264">
          <cell r="A264">
            <v>1600023</v>
          </cell>
          <cell r="H264">
            <v>84671</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row>
        <row r="265">
          <cell r="A265">
            <v>1600023</v>
          </cell>
          <cell r="H265">
            <v>84671</v>
          </cell>
          <cell r="K265">
            <v>0</v>
          </cell>
          <cell r="L265">
            <v>0</v>
          </cell>
          <cell r="M265">
            <v>-38720.68</v>
          </cell>
          <cell r="N265">
            <v>0</v>
          </cell>
          <cell r="O265">
            <v>0</v>
          </cell>
          <cell r="P265">
            <v>0</v>
          </cell>
          <cell r="Q265">
            <v>0</v>
          </cell>
          <cell r="R265">
            <v>0</v>
          </cell>
          <cell r="S265">
            <v>0</v>
          </cell>
          <cell r="T265">
            <v>0</v>
          </cell>
          <cell r="U265">
            <v>0</v>
          </cell>
          <cell r="V265">
            <v>-6391.69</v>
          </cell>
          <cell r="W265">
            <v>0</v>
          </cell>
          <cell r="X265">
            <v>0</v>
          </cell>
          <cell r="Y265">
            <v>0</v>
          </cell>
          <cell r="Z265">
            <v>0</v>
          </cell>
          <cell r="AA265">
            <v>0</v>
          </cell>
          <cell r="AB265">
            <v>0</v>
          </cell>
          <cell r="AC265">
            <v>0</v>
          </cell>
          <cell r="AD265">
            <v>0</v>
          </cell>
          <cell r="AE265">
            <v>0</v>
          </cell>
          <cell r="AF265">
            <v>0</v>
          </cell>
        </row>
        <row r="266">
          <cell r="A266">
            <v>1600023</v>
          </cell>
          <cell r="H266">
            <v>84671</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row>
        <row r="267">
          <cell r="A267">
            <v>1600024</v>
          </cell>
          <cell r="B267" t="str">
            <v>1600024</v>
          </cell>
          <cell r="C267" t="str">
            <v>0</v>
          </cell>
          <cell r="D267" t="str">
            <v>16000</v>
          </cell>
          <cell r="E267" t="str">
            <v>TCSADMIN</v>
          </cell>
          <cell r="F267" t="str">
            <v/>
          </cell>
          <cell r="G267" t="str">
            <v>AIR PROCESSORS</v>
          </cell>
          <cell r="H267">
            <v>6400</v>
          </cell>
          <cell r="K267">
            <v>0</v>
          </cell>
          <cell r="L267">
            <v>0</v>
          </cell>
          <cell r="M267">
            <v>-1245.0999999999999</v>
          </cell>
          <cell r="N267">
            <v>0</v>
          </cell>
          <cell r="O267">
            <v>0</v>
          </cell>
          <cell r="P267">
            <v>0</v>
          </cell>
          <cell r="Q267">
            <v>0</v>
          </cell>
          <cell r="R267">
            <v>0</v>
          </cell>
          <cell r="S267">
            <v>0</v>
          </cell>
          <cell r="T267">
            <v>0</v>
          </cell>
          <cell r="U267">
            <v>0</v>
          </cell>
          <cell r="V267">
            <v>-717.05</v>
          </cell>
          <cell r="W267">
            <v>0</v>
          </cell>
          <cell r="X267">
            <v>0</v>
          </cell>
          <cell r="Y267">
            <v>0</v>
          </cell>
          <cell r="Z267">
            <v>0</v>
          </cell>
          <cell r="AA267">
            <v>0</v>
          </cell>
          <cell r="AB267">
            <v>0</v>
          </cell>
          <cell r="AC267">
            <v>0</v>
          </cell>
          <cell r="AD267">
            <v>0</v>
          </cell>
          <cell r="AE267">
            <v>0</v>
          </cell>
          <cell r="AF267">
            <v>0</v>
          </cell>
        </row>
        <row r="268">
          <cell r="A268">
            <v>1600024</v>
          </cell>
          <cell r="H268">
            <v>6400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row>
        <row r="269">
          <cell r="A269">
            <v>1600024</v>
          </cell>
          <cell r="H269">
            <v>6400</v>
          </cell>
          <cell r="K269">
            <v>0</v>
          </cell>
          <cell r="L269">
            <v>0</v>
          </cell>
          <cell r="M269">
            <v>-1962.15</v>
          </cell>
          <cell r="N269">
            <v>0</v>
          </cell>
          <cell r="O269">
            <v>0</v>
          </cell>
          <cell r="P269">
            <v>0</v>
          </cell>
          <cell r="Q269">
            <v>0</v>
          </cell>
          <cell r="R269">
            <v>0</v>
          </cell>
          <cell r="S269">
            <v>0</v>
          </cell>
          <cell r="T269">
            <v>0</v>
          </cell>
          <cell r="U269">
            <v>0</v>
          </cell>
          <cell r="V269">
            <v>-617.29999999999995</v>
          </cell>
          <cell r="W269">
            <v>0</v>
          </cell>
          <cell r="X269">
            <v>0</v>
          </cell>
          <cell r="Y269">
            <v>0</v>
          </cell>
          <cell r="Z269">
            <v>0</v>
          </cell>
          <cell r="AA269">
            <v>0</v>
          </cell>
          <cell r="AB269">
            <v>0</v>
          </cell>
          <cell r="AC269">
            <v>0</v>
          </cell>
          <cell r="AD269">
            <v>0</v>
          </cell>
          <cell r="AE269">
            <v>0</v>
          </cell>
          <cell r="AF269">
            <v>0</v>
          </cell>
        </row>
        <row r="270">
          <cell r="A270">
            <v>1600024</v>
          </cell>
          <cell r="H270">
            <v>6400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row>
        <row r="271">
          <cell r="A271">
            <v>1600025</v>
          </cell>
          <cell r="B271" t="str">
            <v>1600025</v>
          </cell>
          <cell r="C271" t="str">
            <v>0</v>
          </cell>
          <cell r="D271" t="str">
            <v>16000</v>
          </cell>
          <cell r="E271" t="str">
            <v>TCSADMIN</v>
          </cell>
          <cell r="F271" t="str">
            <v/>
          </cell>
          <cell r="G271" t="str">
            <v>LOCKER</v>
          </cell>
          <cell r="H271">
            <v>18144</v>
          </cell>
          <cell r="K271">
            <v>0</v>
          </cell>
          <cell r="L271">
            <v>0</v>
          </cell>
          <cell r="M271">
            <v>-3964.4</v>
          </cell>
          <cell r="N271">
            <v>0</v>
          </cell>
          <cell r="O271">
            <v>0</v>
          </cell>
          <cell r="P271">
            <v>0</v>
          </cell>
          <cell r="Q271">
            <v>0</v>
          </cell>
          <cell r="R271">
            <v>0</v>
          </cell>
          <cell r="S271">
            <v>0</v>
          </cell>
          <cell r="T271">
            <v>0</v>
          </cell>
          <cell r="U271">
            <v>0</v>
          </cell>
          <cell r="V271">
            <v>-1972.38</v>
          </cell>
          <cell r="W271">
            <v>0</v>
          </cell>
          <cell r="X271">
            <v>0</v>
          </cell>
          <cell r="Y271">
            <v>0</v>
          </cell>
          <cell r="Z271">
            <v>0</v>
          </cell>
          <cell r="AA271">
            <v>0</v>
          </cell>
          <cell r="AB271">
            <v>0</v>
          </cell>
          <cell r="AC271">
            <v>0</v>
          </cell>
          <cell r="AD271">
            <v>0</v>
          </cell>
          <cell r="AE271">
            <v>0</v>
          </cell>
          <cell r="AF271">
            <v>0</v>
          </cell>
        </row>
        <row r="272">
          <cell r="A272">
            <v>1600025</v>
          </cell>
          <cell r="H272">
            <v>18144</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row>
        <row r="273">
          <cell r="A273">
            <v>1600025</v>
          </cell>
          <cell r="H273">
            <v>18144</v>
          </cell>
          <cell r="K273">
            <v>0</v>
          </cell>
          <cell r="L273">
            <v>0</v>
          </cell>
          <cell r="M273">
            <v>-5936.78</v>
          </cell>
          <cell r="N273">
            <v>0</v>
          </cell>
          <cell r="O273">
            <v>0</v>
          </cell>
          <cell r="P273">
            <v>0</v>
          </cell>
          <cell r="Q273">
            <v>0</v>
          </cell>
          <cell r="R273">
            <v>0</v>
          </cell>
          <cell r="S273">
            <v>0</v>
          </cell>
          <cell r="T273">
            <v>0</v>
          </cell>
          <cell r="U273">
            <v>0</v>
          </cell>
          <cell r="V273">
            <v>-1698.02</v>
          </cell>
          <cell r="W273">
            <v>0</v>
          </cell>
          <cell r="X273">
            <v>0</v>
          </cell>
          <cell r="Y273">
            <v>0</v>
          </cell>
          <cell r="Z273">
            <v>0</v>
          </cell>
          <cell r="AA273">
            <v>0</v>
          </cell>
          <cell r="AB273">
            <v>0</v>
          </cell>
          <cell r="AC273">
            <v>0</v>
          </cell>
          <cell r="AD273">
            <v>0</v>
          </cell>
          <cell r="AE273">
            <v>0</v>
          </cell>
          <cell r="AF273">
            <v>0</v>
          </cell>
        </row>
        <row r="274">
          <cell r="A274">
            <v>1600025</v>
          </cell>
          <cell r="H274">
            <v>18144</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row>
        <row r="275">
          <cell r="A275">
            <v>1600026</v>
          </cell>
          <cell r="B275" t="str">
            <v>1600026</v>
          </cell>
          <cell r="C275" t="str">
            <v>0</v>
          </cell>
          <cell r="D275" t="str">
            <v>16000</v>
          </cell>
          <cell r="E275" t="str">
            <v>TCSADMIN</v>
          </cell>
          <cell r="F275" t="str">
            <v/>
          </cell>
          <cell r="G275" t="str">
            <v>GRANITE NAME PLATE</v>
          </cell>
          <cell r="H275">
            <v>10481</v>
          </cell>
          <cell r="K275">
            <v>0</v>
          </cell>
          <cell r="L275">
            <v>0</v>
          </cell>
          <cell r="M275">
            <v>-2386.35</v>
          </cell>
          <cell r="N275">
            <v>0</v>
          </cell>
          <cell r="O275">
            <v>0</v>
          </cell>
          <cell r="P275">
            <v>0</v>
          </cell>
          <cell r="Q275">
            <v>0</v>
          </cell>
          <cell r="R275">
            <v>0</v>
          </cell>
          <cell r="S275">
            <v>0</v>
          </cell>
          <cell r="T275">
            <v>0</v>
          </cell>
          <cell r="U275">
            <v>0</v>
          </cell>
          <cell r="V275">
            <v>-1125.97</v>
          </cell>
          <cell r="W275">
            <v>0</v>
          </cell>
          <cell r="X275">
            <v>0</v>
          </cell>
          <cell r="Y275">
            <v>0</v>
          </cell>
          <cell r="Z275">
            <v>0</v>
          </cell>
          <cell r="AA275">
            <v>0</v>
          </cell>
          <cell r="AB275">
            <v>0</v>
          </cell>
          <cell r="AC275">
            <v>0</v>
          </cell>
          <cell r="AD275">
            <v>0</v>
          </cell>
          <cell r="AE275">
            <v>0</v>
          </cell>
          <cell r="AF275">
            <v>0</v>
          </cell>
        </row>
        <row r="276">
          <cell r="A276">
            <v>1600026</v>
          </cell>
          <cell r="H276">
            <v>10481</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row>
        <row r="277">
          <cell r="A277">
            <v>1600026</v>
          </cell>
          <cell r="H277">
            <v>10481</v>
          </cell>
          <cell r="K277">
            <v>0</v>
          </cell>
          <cell r="L277">
            <v>0</v>
          </cell>
          <cell r="M277">
            <v>-3512.32</v>
          </cell>
          <cell r="N277">
            <v>0</v>
          </cell>
          <cell r="O277">
            <v>0</v>
          </cell>
          <cell r="P277">
            <v>0</v>
          </cell>
          <cell r="Q277">
            <v>0</v>
          </cell>
          <cell r="R277">
            <v>0</v>
          </cell>
          <cell r="S277">
            <v>0</v>
          </cell>
          <cell r="T277">
            <v>0</v>
          </cell>
          <cell r="U277">
            <v>0</v>
          </cell>
          <cell r="V277">
            <v>-969.34</v>
          </cell>
          <cell r="W277">
            <v>0</v>
          </cell>
          <cell r="X277">
            <v>0</v>
          </cell>
          <cell r="Y277">
            <v>0</v>
          </cell>
          <cell r="Z277">
            <v>0</v>
          </cell>
          <cell r="AA277">
            <v>0</v>
          </cell>
          <cell r="AB277">
            <v>0</v>
          </cell>
          <cell r="AC277">
            <v>0</v>
          </cell>
          <cell r="AD277">
            <v>0</v>
          </cell>
          <cell r="AE277">
            <v>0</v>
          </cell>
          <cell r="AF277">
            <v>0</v>
          </cell>
        </row>
        <row r="278">
          <cell r="A278">
            <v>1600026</v>
          </cell>
          <cell r="H278">
            <v>10481</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row>
        <row r="279">
          <cell r="A279">
            <v>1600027</v>
          </cell>
          <cell r="B279" t="str">
            <v>1600027</v>
          </cell>
          <cell r="C279" t="str">
            <v>0</v>
          </cell>
          <cell r="D279" t="str">
            <v>16000</v>
          </cell>
          <cell r="E279" t="str">
            <v>TCSADMIN</v>
          </cell>
          <cell r="F279" t="str">
            <v/>
          </cell>
          <cell r="G279" t="str">
            <v>REFRIGERATOR</v>
          </cell>
          <cell r="H279">
            <v>5750</v>
          </cell>
          <cell r="K279">
            <v>0</v>
          </cell>
          <cell r="L279">
            <v>0</v>
          </cell>
          <cell r="M279">
            <v>-232.28</v>
          </cell>
          <cell r="N279">
            <v>0</v>
          </cell>
          <cell r="O279">
            <v>0</v>
          </cell>
          <cell r="P279">
            <v>0</v>
          </cell>
          <cell r="Q279">
            <v>0</v>
          </cell>
          <cell r="R279">
            <v>0</v>
          </cell>
          <cell r="S279">
            <v>0</v>
          </cell>
          <cell r="T279">
            <v>0</v>
          </cell>
          <cell r="U279">
            <v>0</v>
          </cell>
          <cell r="V279">
            <v>-767.51</v>
          </cell>
          <cell r="W279">
            <v>0</v>
          </cell>
          <cell r="X279">
            <v>0</v>
          </cell>
          <cell r="Y279">
            <v>0</v>
          </cell>
          <cell r="Z279">
            <v>0</v>
          </cell>
          <cell r="AA279">
            <v>0</v>
          </cell>
          <cell r="AB279">
            <v>0</v>
          </cell>
          <cell r="AC279">
            <v>0</v>
          </cell>
          <cell r="AD279">
            <v>0</v>
          </cell>
          <cell r="AE279">
            <v>0</v>
          </cell>
          <cell r="AF279">
            <v>0</v>
          </cell>
        </row>
        <row r="280">
          <cell r="A280">
            <v>1600027</v>
          </cell>
          <cell r="H280">
            <v>5750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row>
        <row r="281">
          <cell r="A281">
            <v>1600027</v>
          </cell>
          <cell r="H281">
            <v>5750</v>
          </cell>
          <cell r="K281">
            <v>0</v>
          </cell>
          <cell r="L281">
            <v>0</v>
          </cell>
          <cell r="M281">
            <v>-999.79</v>
          </cell>
          <cell r="N281">
            <v>0</v>
          </cell>
          <cell r="O281">
            <v>0</v>
          </cell>
          <cell r="P281">
            <v>0</v>
          </cell>
          <cell r="Q281">
            <v>0</v>
          </cell>
          <cell r="R281">
            <v>0</v>
          </cell>
          <cell r="S281">
            <v>0</v>
          </cell>
          <cell r="T281">
            <v>0</v>
          </cell>
          <cell r="U281">
            <v>0</v>
          </cell>
          <cell r="V281">
            <v>-660.75</v>
          </cell>
          <cell r="W281">
            <v>0</v>
          </cell>
          <cell r="X281">
            <v>0</v>
          </cell>
          <cell r="Y281">
            <v>0</v>
          </cell>
          <cell r="Z281">
            <v>0</v>
          </cell>
          <cell r="AA281">
            <v>0</v>
          </cell>
          <cell r="AB281">
            <v>0</v>
          </cell>
          <cell r="AC281">
            <v>0</v>
          </cell>
          <cell r="AD281">
            <v>0</v>
          </cell>
          <cell r="AE281">
            <v>0</v>
          </cell>
          <cell r="AF281">
            <v>0</v>
          </cell>
        </row>
        <row r="282">
          <cell r="A282">
            <v>1600027</v>
          </cell>
          <cell r="H282">
            <v>5750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row>
        <row r="283">
          <cell r="A283">
            <v>1600028</v>
          </cell>
          <cell r="B283" t="str">
            <v>1600028</v>
          </cell>
          <cell r="C283" t="str">
            <v>0</v>
          </cell>
          <cell r="D283" t="str">
            <v>16000</v>
          </cell>
          <cell r="E283" t="str">
            <v>TCSADMIN</v>
          </cell>
          <cell r="F283" t="str">
            <v/>
          </cell>
          <cell r="G283" t="str">
            <v>ELECTRIC BLOWER</v>
          </cell>
          <cell r="H283">
            <v>8700</v>
          </cell>
          <cell r="K283">
            <v>0</v>
          </cell>
          <cell r="L283">
            <v>0</v>
          </cell>
          <cell r="M283">
            <v>-8700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row>
        <row r="284">
          <cell r="A284">
            <v>1600028</v>
          </cell>
          <cell r="H284">
            <v>8700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row>
        <row r="285">
          <cell r="A285">
            <v>1600028</v>
          </cell>
          <cell r="H285">
            <v>8700</v>
          </cell>
          <cell r="K285">
            <v>0</v>
          </cell>
          <cell r="L285">
            <v>0</v>
          </cell>
          <cell r="M285">
            <v>-8700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row>
        <row r="286">
          <cell r="A286">
            <v>1600028</v>
          </cell>
          <cell r="H286">
            <v>8700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row>
        <row r="287">
          <cell r="A287">
            <v>1600029</v>
          </cell>
          <cell r="B287" t="str">
            <v>1600029</v>
          </cell>
          <cell r="C287" t="str">
            <v>0</v>
          </cell>
          <cell r="D287" t="str">
            <v>16000</v>
          </cell>
          <cell r="E287" t="str">
            <v>G3PREMAL</v>
          </cell>
          <cell r="F287" t="str">
            <v/>
          </cell>
          <cell r="G287" t="str">
            <v>SPLIT AIR CONDITIONING MACHINE</v>
          </cell>
          <cell r="H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row>
        <row r="288">
          <cell r="A288">
            <v>1600030</v>
          </cell>
          <cell r="B288" t="str">
            <v>1600030</v>
          </cell>
          <cell r="C288" t="str">
            <v>0</v>
          </cell>
          <cell r="D288" t="str">
            <v>16000</v>
          </cell>
          <cell r="E288" t="str">
            <v>G3PREMAL</v>
          </cell>
          <cell r="F288" t="str">
            <v>G3PREMAL</v>
          </cell>
          <cell r="G288" t="str">
            <v>Water Purifier (Infocity)</v>
          </cell>
          <cell r="H288">
            <v>0</v>
          </cell>
          <cell r="K288">
            <v>0</v>
          </cell>
          <cell r="L288">
            <v>0</v>
          </cell>
          <cell r="M288">
            <v>0</v>
          </cell>
          <cell r="N288">
            <v>0</v>
          </cell>
          <cell r="O288">
            <v>0</v>
          </cell>
          <cell r="P288">
            <v>0</v>
          </cell>
          <cell r="Q288">
            <v>0</v>
          </cell>
          <cell r="R288">
            <v>0</v>
          </cell>
          <cell r="S288">
            <v>0</v>
          </cell>
          <cell r="T288">
            <v>0</v>
          </cell>
          <cell r="U288">
            <v>0</v>
          </cell>
          <cell r="V288">
            <v>-2790.73</v>
          </cell>
          <cell r="W288">
            <v>0</v>
          </cell>
          <cell r="X288">
            <v>0</v>
          </cell>
          <cell r="Y288">
            <v>0</v>
          </cell>
          <cell r="Z288">
            <v>0</v>
          </cell>
          <cell r="AA288">
            <v>0</v>
          </cell>
          <cell r="AB288">
            <v>27950</v>
          </cell>
          <cell r="AC288">
            <v>0</v>
          </cell>
          <cell r="AD288">
            <v>0</v>
          </cell>
          <cell r="AE288">
            <v>0</v>
          </cell>
          <cell r="AF288">
            <v>0</v>
          </cell>
        </row>
        <row r="289">
          <cell r="A289">
            <v>1600030</v>
          </cell>
          <cell r="H289">
            <v>0</v>
          </cell>
          <cell r="K289">
            <v>0</v>
          </cell>
          <cell r="L289">
            <v>0</v>
          </cell>
          <cell r="M289">
            <v>0</v>
          </cell>
          <cell r="N289">
            <v>0</v>
          </cell>
          <cell r="O289">
            <v>0</v>
          </cell>
          <cell r="P289">
            <v>0</v>
          </cell>
          <cell r="Q289">
            <v>0</v>
          </cell>
          <cell r="R289">
            <v>0</v>
          </cell>
          <cell r="S289">
            <v>0</v>
          </cell>
          <cell r="T289">
            <v>0</v>
          </cell>
          <cell r="U289">
            <v>0</v>
          </cell>
          <cell r="V289">
            <v>-5240.63</v>
          </cell>
          <cell r="W289">
            <v>0</v>
          </cell>
          <cell r="X289">
            <v>0</v>
          </cell>
          <cell r="Y289">
            <v>0</v>
          </cell>
          <cell r="Z289">
            <v>0</v>
          </cell>
          <cell r="AA289">
            <v>0</v>
          </cell>
          <cell r="AB289">
            <v>27950</v>
          </cell>
          <cell r="AC289">
            <v>0</v>
          </cell>
          <cell r="AD289">
            <v>0</v>
          </cell>
          <cell r="AE289">
            <v>0</v>
          </cell>
          <cell r="AF289">
            <v>0</v>
          </cell>
        </row>
        <row r="290">
          <cell r="A290">
            <v>1600030</v>
          </cell>
          <cell r="H290">
            <v>27950</v>
          </cell>
          <cell r="K290">
            <v>0</v>
          </cell>
          <cell r="L290">
            <v>0</v>
          </cell>
          <cell r="M290">
            <v>-2790.73</v>
          </cell>
          <cell r="N290">
            <v>0</v>
          </cell>
          <cell r="O290">
            <v>0</v>
          </cell>
          <cell r="P290">
            <v>0</v>
          </cell>
          <cell r="Q290">
            <v>0</v>
          </cell>
          <cell r="R290">
            <v>0</v>
          </cell>
          <cell r="S290">
            <v>0</v>
          </cell>
          <cell r="T290">
            <v>0</v>
          </cell>
          <cell r="U290">
            <v>0</v>
          </cell>
          <cell r="V290">
            <v>-3499.65</v>
          </cell>
          <cell r="W290">
            <v>0</v>
          </cell>
          <cell r="X290">
            <v>0</v>
          </cell>
          <cell r="Y290">
            <v>0</v>
          </cell>
          <cell r="Z290">
            <v>0</v>
          </cell>
          <cell r="AA290">
            <v>0</v>
          </cell>
          <cell r="AB290">
            <v>0</v>
          </cell>
          <cell r="AC290">
            <v>0</v>
          </cell>
          <cell r="AD290">
            <v>0</v>
          </cell>
          <cell r="AE290">
            <v>0</v>
          </cell>
          <cell r="AF290">
            <v>0</v>
          </cell>
        </row>
        <row r="291">
          <cell r="A291">
            <v>1600030</v>
          </cell>
          <cell r="H291">
            <v>27950</v>
          </cell>
          <cell r="K291">
            <v>0</v>
          </cell>
          <cell r="L291">
            <v>0</v>
          </cell>
          <cell r="M291">
            <v>-5240.63</v>
          </cell>
          <cell r="N291">
            <v>0</v>
          </cell>
          <cell r="O291">
            <v>0</v>
          </cell>
          <cell r="P291">
            <v>0</v>
          </cell>
          <cell r="Q291">
            <v>0</v>
          </cell>
          <cell r="R291">
            <v>0</v>
          </cell>
          <cell r="S291">
            <v>0</v>
          </cell>
          <cell r="T291">
            <v>0</v>
          </cell>
          <cell r="U291">
            <v>0</v>
          </cell>
          <cell r="V291">
            <v>-5677.34</v>
          </cell>
          <cell r="W291">
            <v>0</v>
          </cell>
          <cell r="X291">
            <v>0</v>
          </cell>
          <cell r="Y291">
            <v>0</v>
          </cell>
          <cell r="Z291">
            <v>0</v>
          </cell>
          <cell r="AA291">
            <v>0</v>
          </cell>
          <cell r="AB291">
            <v>0</v>
          </cell>
          <cell r="AC291">
            <v>0</v>
          </cell>
          <cell r="AD291">
            <v>0</v>
          </cell>
          <cell r="AE291">
            <v>0</v>
          </cell>
          <cell r="AF291">
            <v>0</v>
          </cell>
        </row>
        <row r="292">
          <cell r="A292">
            <v>1600031</v>
          </cell>
          <cell r="B292" t="str">
            <v>1600031</v>
          </cell>
          <cell r="C292" t="str">
            <v>0</v>
          </cell>
          <cell r="D292" t="str">
            <v>16000</v>
          </cell>
          <cell r="E292" t="str">
            <v>G3PREMAL</v>
          </cell>
          <cell r="F292" t="str">
            <v/>
          </cell>
          <cell r="G292" t="str">
            <v>Lightining Arrester</v>
          </cell>
          <cell r="H292">
            <v>0</v>
          </cell>
          <cell r="K292">
            <v>0</v>
          </cell>
          <cell r="L292">
            <v>0</v>
          </cell>
          <cell r="M292">
            <v>0</v>
          </cell>
          <cell r="N292">
            <v>0</v>
          </cell>
          <cell r="O292">
            <v>0</v>
          </cell>
          <cell r="P292">
            <v>0</v>
          </cell>
          <cell r="Q292">
            <v>0</v>
          </cell>
          <cell r="R292">
            <v>0</v>
          </cell>
          <cell r="S292">
            <v>0</v>
          </cell>
          <cell r="T292">
            <v>0</v>
          </cell>
          <cell r="U292">
            <v>0</v>
          </cell>
          <cell r="V292">
            <v>-4567.43</v>
          </cell>
          <cell r="W292">
            <v>0</v>
          </cell>
          <cell r="X292">
            <v>0</v>
          </cell>
          <cell r="Y292">
            <v>0</v>
          </cell>
          <cell r="Z292">
            <v>0</v>
          </cell>
          <cell r="AA292">
            <v>0</v>
          </cell>
          <cell r="AB292">
            <v>47000</v>
          </cell>
          <cell r="AC292">
            <v>0</v>
          </cell>
          <cell r="AD292">
            <v>0</v>
          </cell>
          <cell r="AE292">
            <v>0</v>
          </cell>
          <cell r="AF292">
            <v>0</v>
          </cell>
        </row>
        <row r="293">
          <cell r="A293">
            <v>1600031</v>
          </cell>
          <cell r="H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47000</v>
          </cell>
          <cell r="AC293">
            <v>0</v>
          </cell>
          <cell r="AD293">
            <v>0</v>
          </cell>
          <cell r="AE293">
            <v>0</v>
          </cell>
          <cell r="AF293">
            <v>0</v>
          </cell>
        </row>
        <row r="294">
          <cell r="A294">
            <v>1600031</v>
          </cell>
          <cell r="H294">
            <v>47000</v>
          </cell>
          <cell r="K294">
            <v>0</v>
          </cell>
          <cell r="L294">
            <v>0</v>
          </cell>
          <cell r="M294">
            <v>-4567.43</v>
          </cell>
          <cell r="N294">
            <v>0</v>
          </cell>
          <cell r="O294">
            <v>0</v>
          </cell>
          <cell r="P294">
            <v>0</v>
          </cell>
          <cell r="Q294">
            <v>0</v>
          </cell>
          <cell r="R294">
            <v>0</v>
          </cell>
          <cell r="S294">
            <v>0</v>
          </cell>
          <cell r="T294">
            <v>0</v>
          </cell>
          <cell r="U294">
            <v>0</v>
          </cell>
          <cell r="V294">
            <v>-5902.37</v>
          </cell>
          <cell r="W294">
            <v>0</v>
          </cell>
          <cell r="X294">
            <v>0</v>
          </cell>
          <cell r="Y294">
            <v>0</v>
          </cell>
          <cell r="Z294">
            <v>0</v>
          </cell>
          <cell r="AA294">
            <v>0</v>
          </cell>
          <cell r="AB294">
            <v>0</v>
          </cell>
          <cell r="AC294">
            <v>0</v>
          </cell>
          <cell r="AD294">
            <v>0</v>
          </cell>
          <cell r="AE294">
            <v>0</v>
          </cell>
          <cell r="AF294">
            <v>0</v>
          </cell>
        </row>
        <row r="295">
          <cell r="A295">
            <v>1600031</v>
          </cell>
          <cell r="H295">
            <v>47000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row>
        <row r="296">
          <cell r="A296">
            <v>1600032</v>
          </cell>
          <cell r="B296" t="str">
            <v>1600032</v>
          </cell>
          <cell r="C296" t="str">
            <v>0</v>
          </cell>
          <cell r="D296" t="str">
            <v>16000</v>
          </cell>
          <cell r="E296" t="str">
            <v>G3PREMAL</v>
          </cell>
          <cell r="F296" t="str">
            <v/>
          </cell>
          <cell r="G296" t="str">
            <v>Laser Jet Fax Machine</v>
          </cell>
          <cell r="H296">
            <v>0</v>
          </cell>
          <cell r="K296">
            <v>0</v>
          </cell>
          <cell r="L296">
            <v>0</v>
          </cell>
          <cell r="M296">
            <v>0</v>
          </cell>
          <cell r="N296">
            <v>0</v>
          </cell>
          <cell r="O296">
            <v>0</v>
          </cell>
          <cell r="P296">
            <v>0</v>
          </cell>
          <cell r="Q296">
            <v>0</v>
          </cell>
          <cell r="R296">
            <v>0</v>
          </cell>
          <cell r="S296">
            <v>0</v>
          </cell>
          <cell r="T296">
            <v>0</v>
          </cell>
          <cell r="U296">
            <v>0</v>
          </cell>
          <cell r="V296">
            <v>-1655.02</v>
          </cell>
          <cell r="W296">
            <v>0</v>
          </cell>
          <cell r="X296">
            <v>0</v>
          </cell>
          <cell r="Y296">
            <v>0</v>
          </cell>
          <cell r="Z296">
            <v>0</v>
          </cell>
          <cell r="AA296">
            <v>0</v>
          </cell>
          <cell r="AB296">
            <v>15400</v>
          </cell>
          <cell r="AC296">
            <v>0</v>
          </cell>
          <cell r="AD296">
            <v>0</v>
          </cell>
          <cell r="AE296">
            <v>0</v>
          </cell>
          <cell r="AF296">
            <v>0</v>
          </cell>
        </row>
        <row r="297">
          <cell r="A297">
            <v>1600032</v>
          </cell>
          <cell r="H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15400</v>
          </cell>
          <cell r="AC297">
            <v>0</v>
          </cell>
          <cell r="AD297">
            <v>0</v>
          </cell>
          <cell r="AE297">
            <v>0</v>
          </cell>
          <cell r="AF297">
            <v>0</v>
          </cell>
        </row>
        <row r="298">
          <cell r="A298">
            <v>1600033</v>
          </cell>
          <cell r="B298" t="str">
            <v>1600033</v>
          </cell>
          <cell r="C298" t="str">
            <v>0</v>
          </cell>
          <cell r="D298" t="str">
            <v>16000</v>
          </cell>
          <cell r="E298" t="str">
            <v>G3PREMAL</v>
          </cell>
          <cell r="F298" t="str">
            <v/>
          </cell>
          <cell r="G298" t="str">
            <v>Laser Jet Fax Machine</v>
          </cell>
          <cell r="H298">
            <v>0</v>
          </cell>
          <cell r="K298">
            <v>0</v>
          </cell>
          <cell r="L298">
            <v>0</v>
          </cell>
          <cell r="M298">
            <v>0</v>
          </cell>
          <cell r="N298">
            <v>0</v>
          </cell>
          <cell r="O298">
            <v>0</v>
          </cell>
          <cell r="P298">
            <v>0</v>
          </cell>
          <cell r="Q298">
            <v>0</v>
          </cell>
          <cell r="R298">
            <v>0</v>
          </cell>
          <cell r="S298">
            <v>0</v>
          </cell>
          <cell r="T298">
            <v>0</v>
          </cell>
          <cell r="U298">
            <v>0</v>
          </cell>
          <cell r="V298">
            <v>-576.59</v>
          </cell>
          <cell r="W298">
            <v>0</v>
          </cell>
          <cell r="X298">
            <v>0</v>
          </cell>
          <cell r="Y298">
            <v>0</v>
          </cell>
          <cell r="Z298">
            <v>0</v>
          </cell>
          <cell r="AA298">
            <v>0</v>
          </cell>
          <cell r="AB298">
            <v>6252</v>
          </cell>
          <cell r="AC298">
            <v>0</v>
          </cell>
          <cell r="AD298">
            <v>0</v>
          </cell>
          <cell r="AE298">
            <v>0</v>
          </cell>
          <cell r="AF298">
            <v>0</v>
          </cell>
        </row>
        <row r="299">
          <cell r="A299">
            <v>1600033</v>
          </cell>
          <cell r="H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6252</v>
          </cell>
          <cell r="AC299">
            <v>0</v>
          </cell>
          <cell r="AD299">
            <v>0</v>
          </cell>
          <cell r="AE299">
            <v>0</v>
          </cell>
          <cell r="AF299">
            <v>0</v>
          </cell>
        </row>
        <row r="300">
          <cell r="A300">
            <v>1600034</v>
          </cell>
          <cell r="B300" t="str">
            <v>1600034</v>
          </cell>
          <cell r="C300" t="str">
            <v>0</v>
          </cell>
          <cell r="D300" t="str">
            <v>16000</v>
          </cell>
          <cell r="E300" t="str">
            <v>G3PREMAL</v>
          </cell>
          <cell r="F300" t="str">
            <v>G3PREMAL</v>
          </cell>
          <cell r="G300" t="str">
            <v>XEROX MACHINE - CP420</v>
          </cell>
          <cell r="H300">
            <v>0</v>
          </cell>
          <cell r="K300">
            <v>0</v>
          </cell>
          <cell r="L300">
            <v>0</v>
          </cell>
          <cell r="M300">
            <v>0</v>
          </cell>
          <cell r="N300">
            <v>0</v>
          </cell>
          <cell r="O300">
            <v>0</v>
          </cell>
          <cell r="P300">
            <v>0</v>
          </cell>
          <cell r="Q300">
            <v>0</v>
          </cell>
          <cell r="R300">
            <v>0</v>
          </cell>
          <cell r="S300">
            <v>0</v>
          </cell>
          <cell r="T300">
            <v>0</v>
          </cell>
          <cell r="U300">
            <v>0</v>
          </cell>
          <cell r="V300">
            <v>-1260.8699999999999</v>
          </cell>
          <cell r="W300">
            <v>0</v>
          </cell>
          <cell r="X300">
            <v>0</v>
          </cell>
          <cell r="Y300">
            <v>0</v>
          </cell>
          <cell r="Z300">
            <v>0</v>
          </cell>
          <cell r="AA300">
            <v>0</v>
          </cell>
          <cell r="AB300">
            <v>56076.800000000003</v>
          </cell>
          <cell r="AC300">
            <v>0</v>
          </cell>
          <cell r="AD300">
            <v>0</v>
          </cell>
          <cell r="AE300">
            <v>0</v>
          </cell>
          <cell r="AF300">
            <v>0</v>
          </cell>
        </row>
        <row r="301">
          <cell r="A301">
            <v>1600034</v>
          </cell>
          <cell r="H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56076.800000000003</v>
          </cell>
          <cell r="AC301">
            <v>0</v>
          </cell>
          <cell r="AD301">
            <v>0</v>
          </cell>
          <cell r="AE301">
            <v>0</v>
          </cell>
          <cell r="AF301">
            <v>0</v>
          </cell>
        </row>
        <row r="302">
          <cell r="A302">
            <v>1700000</v>
          </cell>
          <cell r="B302" t="str">
            <v>1700000</v>
          </cell>
          <cell r="C302" t="str">
            <v>0</v>
          </cell>
          <cell r="D302" t="str">
            <v>17000</v>
          </cell>
          <cell r="E302" t="str">
            <v>TCSADMIN</v>
          </cell>
          <cell r="F302" t="str">
            <v/>
          </cell>
          <cell r="G302" t="str">
            <v>RADIO LINK - BARODA</v>
          </cell>
          <cell r="H302">
            <v>107406</v>
          </cell>
          <cell r="K302">
            <v>0</v>
          </cell>
          <cell r="L302">
            <v>0</v>
          </cell>
          <cell r="M302">
            <v>-30502.14</v>
          </cell>
          <cell r="N302">
            <v>0</v>
          </cell>
          <cell r="O302">
            <v>0</v>
          </cell>
          <cell r="P302">
            <v>0</v>
          </cell>
          <cell r="Q302">
            <v>0</v>
          </cell>
          <cell r="R302">
            <v>0</v>
          </cell>
          <cell r="S302">
            <v>0</v>
          </cell>
          <cell r="T302">
            <v>0</v>
          </cell>
          <cell r="U302">
            <v>0</v>
          </cell>
          <cell r="V302">
            <v>-10697.33</v>
          </cell>
          <cell r="W302">
            <v>0</v>
          </cell>
          <cell r="X302">
            <v>0</v>
          </cell>
          <cell r="Y302">
            <v>0</v>
          </cell>
          <cell r="Z302">
            <v>0</v>
          </cell>
          <cell r="AA302">
            <v>0</v>
          </cell>
          <cell r="AB302">
            <v>0</v>
          </cell>
          <cell r="AC302">
            <v>0</v>
          </cell>
          <cell r="AD302">
            <v>0</v>
          </cell>
          <cell r="AE302">
            <v>0</v>
          </cell>
          <cell r="AF302">
            <v>0</v>
          </cell>
        </row>
        <row r="303">
          <cell r="A303">
            <v>1700000</v>
          </cell>
          <cell r="H303">
            <v>107406</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row>
        <row r="304">
          <cell r="A304">
            <v>1700000</v>
          </cell>
          <cell r="H304">
            <v>107406</v>
          </cell>
          <cell r="K304">
            <v>0</v>
          </cell>
          <cell r="L304">
            <v>0</v>
          </cell>
          <cell r="M304">
            <v>-41199.47</v>
          </cell>
          <cell r="N304">
            <v>0</v>
          </cell>
          <cell r="O304">
            <v>0</v>
          </cell>
          <cell r="P304">
            <v>0</v>
          </cell>
          <cell r="Q304">
            <v>0</v>
          </cell>
          <cell r="R304">
            <v>0</v>
          </cell>
          <cell r="S304">
            <v>0</v>
          </cell>
          <cell r="T304">
            <v>0</v>
          </cell>
          <cell r="U304">
            <v>0</v>
          </cell>
          <cell r="V304">
            <v>-9209.33</v>
          </cell>
          <cell r="W304">
            <v>0</v>
          </cell>
          <cell r="X304">
            <v>0</v>
          </cell>
          <cell r="Y304">
            <v>0</v>
          </cell>
          <cell r="Z304">
            <v>0</v>
          </cell>
          <cell r="AA304">
            <v>0</v>
          </cell>
          <cell r="AB304">
            <v>0</v>
          </cell>
          <cell r="AC304">
            <v>0</v>
          </cell>
          <cell r="AD304">
            <v>0</v>
          </cell>
          <cell r="AE304">
            <v>0</v>
          </cell>
          <cell r="AF304">
            <v>0</v>
          </cell>
        </row>
        <row r="305">
          <cell r="A305">
            <v>1700000</v>
          </cell>
          <cell r="H305">
            <v>107406</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row>
        <row r="306">
          <cell r="A306">
            <v>1700001</v>
          </cell>
          <cell r="B306" t="str">
            <v>1700001</v>
          </cell>
          <cell r="C306" t="str">
            <v>0</v>
          </cell>
          <cell r="D306" t="str">
            <v>17000</v>
          </cell>
          <cell r="E306" t="str">
            <v>TCSADMIN</v>
          </cell>
          <cell r="F306" t="str">
            <v/>
          </cell>
          <cell r="G306" t="str">
            <v>ANTANNAE</v>
          </cell>
          <cell r="H306">
            <v>39500</v>
          </cell>
          <cell r="K306">
            <v>0</v>
          </cell>
          <cell r="L306">
            <v>0</v>
          </cell>
          <cell r="M306">
            <v>-8850.93</v>
          </cell>
          <cell r="N306">
            <v>0</v>
          </cell>
          <cell r="O306">
            <v>0</v>
          </cell>
          <cell r="P306">
            <v>0</v>
          </cell>
          <cell r="Q306">
            <v>0</v>
          </cell>
          <cell r="R306">
            <v>0</v>
          </cell>
          <cell r="S306">
            <v>0</v>
          </cell>
          <cell r="T306">
            <v>0</v>
          </cell>
          <cell r="U306">
            <v>0</v>
          </cell>
          <cell r="V306">
            <v>-4263.29</v>
          </cell>
          <cell r="W306">
            <v>0</v>
          </cell>
          <cell r="X306">
            <v>0</v>
          </cell>
          <cell r="Y306">
            <v>0</v>
          </cell>
          <cell r="Z306">
            <v>0</v>
          </cell>
          <cell r="AA306">
            <v>0</v>
          </cell>
          <cell r="AB306">
            <v>0</v>
          </cell>
          <cell r="AC306">
            <v>0</v>
          </cell>
          <cell r="AD306">
            <v>0</v>
          </cell>
          <cell r="AE306">
            <v>0</v>
          </cell>
          <cell r="AF306">
            <v>0</v>
          </cell>
        </row>
        <row r="307">
          <cell r="A307">
            <v>1700001</v>
          </cell>
          <cell r="H307">
            <v>39500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row>
        <row r="308">
          <cell r="A308">
            <v>1700001</v>
          </cell>
          <cell r="H308">
            <v>39500</v>
          </cell>
          <cell r="K308">
            <v>0</v>
          </cell>
          <cell r="L308">
            <v>0</v>
          </cell>
          <cell r="M308">
            <v>-13114.22</v>
          </cell>
          <cell r="N308">
            <v>0</v>
          </cell>
          <cell r="O308">
            <v>0</v>
          </cell>
          <cell r="P308">
            <v>0</v>
          </cell>
          <cell r="Q308">
            <v>0</v>
          </cell>
          <cell r="R308">
            <v>0</v>
          </cell>
          <cell r="S308">
            <v>0</v>
          </cell>
          <cell r="T308">
            <v>0</v>
          </cell>
          <cell r="U308">
            <v>0</v>
          </cell>
          <cell r="V308">
            <v>-3670.26</v>
          </cell>
          <cell r="W308">
            <v>0</v>
          </cell>
          <cell r="X308">
            <v>0</v>
          </cell>
          <cell r="Y308">
            <v>0</v>
          </cell>
          <cell r="Z308">
            <v>0</v>
          </cell>
          <cell r="AA308">
            <v>0</v>
          </cell>
          <cell r="AB308">
            <v>0</v>
          </cell>
          <cell r="AC308">
            <v>0</v>
          </cell>
          <cell r="AD308">
            <v>0</v>
          </cell>
          <cell r="AE308">
            <v>0</v>
          </cell>
          <cell r="AF308">
            <v>0</v>
          </cell>
        </row>
        <row r="309">
          <cell r="A309">
            <v>1700001</v>
          </cell>
          <cell r="H309">
            <v>39500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row>
        <row r="310">
          <cell r="A310">
            <v>1700002</v>
          </cell>
          <cell r="B310" t="str">
            <v>1700002</v>
          </cell>
          <cell r="C310" t="str">
            <v>0</v>
          </cell>
          <cell r="D310" t="str">
            <v>17000</v>
          </cell>
          <cell r="E310" t="str">
            <v>TCSADMIN</v>
          </cell>
          <cell r="F310" t="str">
            <v/>
          </cell>
          <cell r="G310" t="str">
            <v>ROUTER</v>
          </cell>
          <cell r="H310">
            <v>20000</v>
          </cell>
          <cell r="K310">
            <v>0</v>
          </cell>
          <cell r="L310">
            <v>0</v>
          </cell>
          <cell r="M310">
            <v>-4481.4799999999996</v>
          </cell>
          <cell r="N310">
            <v>0</v>
          </cell>
          <cell r="O310">
            <v>0</v>
          </cell>
          <cell r="P310">
            <v>0</v>
          </cell>
          <cell r="Q310">
            <v>0</v>
          </cell>
          <cell r="R310">
            <v>0</v>
          </cell>
          <cell r="S310">
            <v>0</v>
          </cell>
          <cell r="T310">
            <v>0</v>
          </cell>
          <cell r="U310">
            <v>0</v>
          </cell>
          <cell r="V310">
            <v>-2158.63</v>
          </cell>
          <cell r="W310">
            <v>0</v>
          </cell>
          <cell r="X310">
            <v>0</v>
          </cell>
          <cell r="Y310">
            <v>0</v>
          </cell>
          <cell r="Z310">
            <v>0</v>
          </cell>
          <cell r="AA310">
            <v>0</v>
          </cell>
          <cell r="AB310">
            <v>0</v>
          </cell>
          <cell r="AC310">
            <v>0</v>
          </cell>
          <cell r="AD310">
            <v>0</v>
          </cell>
          <cell r="AE310">
            <v>0</v>
          </cell>
          <cell r="AF310">
            <v>0</v>
          </cell>
        </row>
        <row r="311">
          <cell r="A311">
            <v>1700002</v>
          </cell>
          <cell r="H311">
            <v>20000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row>
        <row r="312">
          <cell r="A312">
            <v>1700002</v>
          </cell>
          <cell r="H312">
            <v>20000</v>
          </cell>
          <cell r="K312">
            <v>0</v>
          </cell>
          <cell r="L312">
            <v>0</v>
          </cell>
          <cell r="M312">
            <v>-6640.11</v>
          </cell>
          <cell r="N312">
            <v>0</v>
          </cell>
          <cell r="O312">
            <v>0</v>
          </cell>
          <cell r="P312">
            <v>0</v>
          </cell>
          <cell r="Q312">
            <v>0</v>
          </cell>
          <cell r="R312">
            <v>0</v>
          </cell>
          <cell r="S312">
            <v>0</v>
          </cell>
          <cell r="T312">
            <v>0</v>
          </cell>
          <cell r="U312">
            <v>0</v>
          </cell>
          <cell r="V312">
            <v>-1858.36</v>
          </cell>
          <cell r="W312">
            <v>0</v>
          </cell>
          <cell r="X312">
            <v>0</v>
          </cell>
          <cell r="Y312">
            <v>0</v>
          </cell>
          <cell r="Z312">
            <v>0</v>
          </cell>
          <cell r="AA312">
            <v>0</v>
          </cell>
          <cell r="AB312">
            <v>0</v>
          </cell>
          <cell r="AC312">
            <v>0</v>
          </cell>
          <cell r="AD312">
            <v>0</v>
          </cell>
          <cell r="AE312">
            <v>0</v>
          </cell>
          <cell r="AF312">
            <v>0</v>
          </cell>
        </row>
        <row r="313">
          <cell r="A313">
            <v>1700002</v>
          </cell>
          <cell r="H313">
            <v>20000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row>
        <row r="314">
          <cell r="A314">
            <v>1700003</v>
          </cell>
          <cell r="B314" t="str">
            <v>1700003</v>
          </cell>
          <cell r="C314" t="str">
            <v>0</v>
          </cell>
          <cell r="D314" t="str">
            <v>17000</v>
          </cell>
          <cell r="E314" t="str">
            <v>TCSADMIN</v>
          </cell>
          <cell r="F314" t="str">
            <v/>
          </cell>
          <cell r="G314" t="str">
            <v>RF CABLE</v>
          </cell>
          <cell r="H314">
            <v>70854</v>
          </cell>
          <cell r="K314">
            <v>0</v>
          </cell>
          <cell r="L314">
            <v>0</v>
          </cell>
          <cell r="M314">
            <v>-15876.55</v>
          </cell>
          <cell r="N314">
            <v>0</v>
          </cell>
          <cell r="O314">
            <v>0</v>
          </cell>
          <cell r="P314">
            <v>0</v>
          </cell>
          <cell r="Q314">
            <v>0</v>
          </cell>
          <cell r="R314">
            <v>0</v>
          </cell>
          <cell r="S314">
            <v>0</v>
          </cell>
          <cell r="T314">
            <v>0</v>
          </cell>
          <cell r="U314">
            <v>0</v>
          </cell>
          <cell r="V314">
            <v>-7647.36</v>
          </cell>
          <cell r="W314">
            <v>0</v>
          </cell>
          <cell r="X314">
            <v>0</v>
          </cell>
          <cell r="Y314">
            <v>0</v>
          </cell>
          <cell r="Z314">
            <v>0</v>
          </cell>
          <cell r="AA314">
            <v>0</v>
          </cell>
          <cell r="AB314">
            <v>0</v>
          </cell>
          <cell r="AC314">
            <v>0</v>
          </cell>
          <cell r="AD314">
            <v>0</v>
          </cell>
          <cell r="AE314">
            <v>0</v>
          </cell>
          <cell r="AF314">
            <v>0</v>
          </cell>
        </row>
        <row r="315">
          <cell r="A315">
            <v>1700003</v>
          </cell>
          <cell r="H315">
            <v>70854</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row>
        <row r="316">
          <cell r="A316">
            <v>1700003</v>
          </cell>
          <cell r="H316">
            <v>70854</v>
          </cell>
          <cell r="K316">
            <v>0</v>
          </cell>
          <cell r="L316">
            <v>0</v>
          </cell>
          <cell r="M316">
            <v>-23523.91</v>
          </cell>
          <cell r="N316">
            <v>0</v>
          </cell>
          <cell r="O316">
            <v>0</v>
          </cell>
          <cell r="P316">
            <v>0</v>
          </cell>
          <cell r="Q316">
            <v>0</v>
          </cell>
          <cell r="R316">
            <v>0</v>
          </cell>
          <cell r="S316">
            <v>0</v>
          </cell>
          <cell r="T316">
            <v>0</v>
          </cell>
          <cell r="U316">
            <v>0</v>
          </cell>
          <cell r="V316">
            <v>-6583.62</v>
          </cell>
          <cell r="W316">
            <v>0</v>
          </cell>
          <cell r="X316">
            <v>0</v>
          </cell>
          <cell r="Y316">
            <v>0</v>
          </cell>
          <cell r="Z316">
            <v>0</v>
          </cell>
          <cell r="AA316">
            <v>0</v>
          </cell>
          <cell r="AB316">
            <v>0</v>
          </cell>
          <cell r="AC316">
            <v>0</v>
          </cell>
          <cell r="AD316">
            <v>0</v>
          </cell>
          <cell r="AE316">
            <v>0</v>
          </cell>
          <cell r="AF316">
            <v>0</v>
          </cell>
        </row>
        <row r="317">
          <cell r="A317">
            <v>1700003</v>
          </cell>
          <cell r="H317">
            <v>70854</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row>
        <row r="318">
          <cell r="A318">
            <v>1700004</v>
          </cell>
          <cell r="B318" t="str">
            <v>1700004</v>
          </cell>
          <cell r="C318" t="str">
            <v>0</v>
          </cell>
          <cell r="D318" t="str">
            <v>17000</v>
          </cell>
          <cell r="E318" t="str">
            <v>TCSADMIN</v>
          </cell>
          <cell r="F318" t="str">
            <v/>
          </cell>
          <cell r="G318" t="str">
            <v>ANTANNAE</v>
          </cell>
          <cell r="H318">
            <v>9360</v>
          </cell>
          <cell r="K318">
            <v>0</v>
          </cell>
          <cell r="L318">
            <v>0</v>
          </cell>
          <cell r="M318">
            <v>-1198.53</v>
          </cell>
          <cell r="N318">
            <v>0</v>
          </cell>
          <cell r="O318">
            <v>0</v>
          </cell>
          <cell r="P318">
            <v>0</v>
          </cell>
          <cell r="Q318">
            <v>0</v>
          </cell>
          <cell r="R318">
            <v>0</v>
          </cell>
          <cell r="S318">
            <v>0</v>
          </cell>
          <cell r="T318">
            <v>0</v>
          </cell>
          <cell r="U318">
            <v>0</v>
          </cell>
          <cell r="V318">
            <v>-1135.26</v>
          </cell>
          <cell r="W318">
            <v>0</v>
          </cell>
          <cell r="X318">
            <v>0</v>
          </cell>
          <cell r="Y318">
            <v>0</v>
          </cell>
          <cell r="Z318">
            <v>0</v>
          </cell>
          <cell r="AA318">
            <v>0</v>
          </cell>
          <cell r="AB318">
            <v>0</v>
          </cell>
          <cell r="AC318">
            <v>0</v>
          </cell>
          <cell r="AD318">
            <v>0</v>
          </cell>
          <cell r="AE318">
            <v>0</v>
          </cell>
          <cell r="AF318">
            <v>0</v>
          </cell>
        </row>
        <row r="319">
          <cell r="A319">
            <v>1700004</v>
          </cell>
          <cell r="H319">
            <v>9360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row>
        <row r="320">
          <cell r="A320">
            <v>1700004</v>
          </cell>
          <cell r="H320">
            <v>9360</v>
          </cell>
          <cell r="K320">
            <v>0</v>
          </cell>
          <cell r="L320">
            <v>0</v>
          </cell>
          <cell r="M320">
            <v>-2333.79</v>
          </cell>
          <cell r="N320">
            <v>0</v>
          </cell>
          <cell r="O320">
            <v>0</v>
          </cell>
          <cell r="P320">
            <v>0</v>
          </cell>
          <cell r="Q320">
            <v>0</v>
          </cell>
          <cell r="R320">
            <v>0</v>
          </cell>
          <cell r="S320">
            <v>0</v>
          </cell>
          <cell r="T320">
            <v>0</v>
          </cell>
          <cell r="U320">
            <v>0</v>
          </cell>
          <cell r="V320">
            <v>-977.35</v>
          </cell>
          <cell r="W320">
            <v>0</v>
          </cell>
          <cell r="X320">
            <v>0</v>
          </cell>
          <cell r="Y320">
            <v>0</v>
          </cell>
          <cell r="Z320">
            <v>0</v>
          </cell>
          <cell r="AA320">
            <v>0</v>
          </cell>
          <cell r="AB320">
            <v>0</v>
          </cell>
          <cell r="AC320">
            <v>0</v>
          </cell>
          <cell r="AD320">
            <v>0</v>
          </cell>
          <cell r="AE320">
            <v>0</v>
          </cell>
          <cell r="AF320">
            <v>0</v>
          </cell>
        </row>
        <row r="321">
          <cell r="A321">
            <v>1700004</v>
          </cell>
          <cell r="H321">
            <v>9360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row>
        <row r="322">
          <cell r="A322">
            <v>1700005</v>
          </cell>
          <cell r="B322" t="str">
            <v>1700005</v>
          </cell>
          <cell r="C322" t="str">
            <v>0</v>
          </cell>
          <cell r="D322" t="str">
            <v>17000</v>
          </cell>
          <cell r="E322" t="str">
            <v>TCSADMIN</v>
          </cell>
          <cell r="F322" t="str">
            <v/>
          </cell>
          <cell r="G322" t="str">
            <v>RADIO LINK -</v>
          </cell>
          <cell r="H322">
            <v>29600</v>
          </cell>
          <cell r="K322">
            <v>0</v>
          </cell>
          <cell r="L322">
            <v>0</v>
          </cell>
          <cell r="M322">
            <v>-665.55</v>
          </cell>
          <cell r="N322">
            <v>0</v>
          </cell>
          <cell r="O322">
            <v>0</v>
          </cell>
          <cell r="P322">
            <v>0</v>
          </cell>
          <cell r="Q322">
            <v>0</v>
          </cell>
          <cell r="R322">
            <v>0</v>
          </cell>
          <cell r="S322">
            <v>0</v>
          </cell>
          <cell r="T322">
            <v>0</v>
          </cell>
          <cell r="U322">
            <v>0</v>
          </cell>
          <cell r="V322">
            <v>-6031.25</v>
          </cell>
          <cell r="W322">
            <v>0</v>
          </cell>
          <cell r="X322">
            <v>0</v>
          </cell>
          <cell r="Y322">
            <v>0</v>
          </cell>
          <cell r="Z322">
            <v>0</v>
          </cell>
          <cell r="AA322">
            <v>0</v>
          </cell>
          <cell r="AB322">
            <v>45000</v>
          </cell>
          <cell r="AC322">
            <v>0</v>
          </cell>
          <cell r="AD322">
            <v>0</v>
          </cell>
          <cell r="AE322">
            <v>0</v>
          </cell>
          <cell r="AF322">
            <v>0</v>
          </cell>
        </row>
        <row r="323">
          <cell r="A323">
            <v>1700005</v>
          </cell>
          <cell r="H323">
            <v>29600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45000</v>
          </cell>
          <cell r="AC323">
            <v>0</v>
          </cell>
          <cell r="AD323">
            <v>0</v>
          </cell>
          <cell r="AE323">
            <v>0</v>
          </cell>
          <cell r="AF323">
            <v>0</v>
          </cell>
        </row>
        <row r="324">
          <cell r="A324">
            <v>1700005</v>
          </cell>
          <cell r="H324">
            <v>74600</v>
          </cell>
          <cell r="K324">
            <v>0</v>
          </cell>
          <cell r="L324">
            <v>0</v>
          </cell>
          <cell r="M324">
            <v>-6696.8</v>
          </cell>
          <cell r="N324">
            <v>0</v>
          </cell>
          <cell r="O324">
            <v>0</v>
          </cell>
          <cell r="P324">
            <v>0</v>
          </cell>
          <cell r="Q324">
            <v>0</v>
          </cell>
          <cell r="R324">
            <v>0</v>
          </cell>
          <cell r="S324">
            <v>0</v>
          </cell>
          <cell r="T324">
            <v>0</v>
          </cell>
          <cell r="U324">
            <v>0</v>
          </cell>
          <cell r="V324">
            <v>-9445.34</v>
          </cell>
          <cell r="W324">
            <v>0</v>
          </cell>
          <cell r="X324">
            <v>0</v>
          </cell>
          <cell r="Y324">
            <v>0</v>
          </cell>
          <cell r="Z324">
            <v>0</v>
          </cell>
          <cell r="AA324">
            <v>0</v>
          </cell>
          <cell r="AB324">
            <v>0</v>
          </cell>
          <cell r="AC324">
            <v>0</v>
          </cell>
          <cell r="AD324">
            <v>0</v>
          </cell>
          <cell r="AE324">
            <v>0</v>
          </cell>
          <cell r="AF324">
            <v>0</v>
          </cell>
        </row>
        <row r="325">
          <cell r="A325">
            <v>1700005</v>
          </cell>
          <cell r="H325">
            <v>74600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row>
        <row r="326">
          <cell r="A326">
            <v>1700006</v>
          </cell>
          <cell r="B326" t="str">
            <v>1700006</v>
          </cell>
          <cell r="C326" t="str">
            <v>0</v>
          </cell>
          <cell r="D326" t="str">
            <v>17000</v>
          </cell>
          <cell r="E326" t="str">
            <v>TCSADMIN</v>
          </cell>
          <cell r="F326" t="str">
            <v/>
          </cell>
          <cell r="G326" t="str">
            <v>OPTICAL FIBRE CABLE</v>
          </cell>
          <cell r="H326">
            <v>137961</v>
          </cell>
          <cell r="K326">
            <v>0</v>
          </cell>
          <cell r="L326">
            <v>0</v>
          </cell>
          <cell r="M326">
            <v>-49505.66</v>
          </cell>
          <cell r="N326">
            <v>0</v>
          </cell>
          <cell r="O326">
            <v>0</v>
          </cell>
          <cell r="P326">
            <v>0</v>
          </cell>
          <cell r="Q326">
            <v>0</v>
          </cell>
          <cell r="R326">
            <v>0</v>
          </cell>
          <cell r="S326">
            <v>0</v>
          </cell>
          <cell r="T326">
            <v>0</v>
          </cell>
          <cell r="U326">
            <v>0</v>
          </cell>
          <cell r="V326">
            <v>-12304.14</v>
          </cell>
          <cell r="W326">
            <v>0</v>
          </cell>
          <cell r="X326">
            <v>0</v>
          </cell>
          <cell r="Y326">
            <v>0</v>
          </cell>
          <cell r="Z326">
            <v>0</v>
          </cell>
          <cell r="AA326">
            <v>0</v>
          </cell>
          <cell r="AB326">
            <v>0</v>
          </cell>
          <cell r="AC326">
            <v>0</v>
          </cell>
          <cell r="AD326">
            <v>0</v>
          </cell>
          <cell r="AE326">
            <v>0</v>
          </cell>
          <cell r="AF326">
            <v>0</v>
          </cell>
        </row>
        <row r="327">
          <cell r="A327">
            <v>1700006</v>
          </cell>
          <cell r="H327">
            <v>137961</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row>
        <row r="328">
          <cell r="A328">
            <v>1700006</v>
          </cell>
          <cell r="H328">
            <v>137961</v>
          </cell>
          <cell r="K328">
            <v>0</v>
          </cell>
          <cell r="L328">
            <v>0</v>
          </cell>
          <cell r="M328">
            <v>-61809.8</v>
          </cell>
          <cell r="N328">
            <v>0</v>
          </cell>
          <cell r="O328">
            <v>0</v>
          </cell>
          <cell r="P328">
            <v>0</v>
          </cell>
          <cell r="Q328">
            <v>0</v>
          </cell>
          <cell r="R328">
            <v>0</v>
          </cell>
          <cell r="S328">
            <v>0</v>
          </cell>
          <cell r="T328">
            <v>0</v>
          </cell>
          <cell r="U328">
            <v>0</v>
          </cell>
          <cell r="V328">
            <v>-10592.63</v>
          </cell>
          <cell r="W328">
            <v>0</v>
          </cell>
          <cell r="X328">
            <v>0</v>
          </cell>
          <cell r="Y328">
            <v>0</v>
          </cell>
          <cell r="Z328">
            <v>0</v>
          </cell>
          <cell r="AA328">
            <v>0</v>
          </cell>
          <cell r="AB328">
            <v>0</v>
          </cell>
          <cell r="AC328">
            <v>0</v>
          </cell>
          <cell r="AD328">
            <v>0</v>
          </cell>
          <cell r="AE328">
            <v>0</v>
          </cell>
          <cell r="AF328">
            <v>0</v>
          </cell>
        </row>
        <row r="329">
          <cell r="A329">
            <v>1700006</v>
          </cell>
          <cell r="H329">
            <v>137961</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row>
        <row r="330">
          <cell r="A330">
            <v>1700007</v>
          </cell>
          <cell r="B330" t="str">
            <v>1700007</v>
          </cell>
          <cell r="C330" t="str">
            <v>0</v>
          </cell>
          <cell r="D330" t="str">
            <v>17000</v>
          </cell>
          <cell r="E330" t="str">
            <v>TCSADMIN</v>
          </cell>
          <cell r="F330" t="str">
            <v/>
          </cell>
          <cell r="G330" t="str">
            <v>YJ963.*-</v>
          </cell>
          <cell r="H330">
            <v>10000</v>
          </cell>
          <cell r="K330">
            <v>0</v>
          </cell>
          <cell r="L330">
            <v>0</v>
          </cell>
          <cell r="M330">
            <v>-1919.22</v>
          </cell>
          <cell r="N330">
            <v>0</v>
          </cell>
          <cell r="O330">
            <v>0</v>
          </cell>
          <cell r="P330">
            <v>0</v>
          </cell>
          <cell r="Q330">
            <v>0</v>
          </cell>
          <cell r="R330">
            <v>0</v>
          </cell>
          <cell r="S330">
            <v>0</v>
          </cell>
          <cell r="T330">
            <v>0</v>
          </cell>
          <cell r="U330">
            <v>0</v>
          </cell>
          <cell r="V330">
            <v>-1124.04</v>
          </cell>
          <cell r="W330">
            <v>0</v>
          </cell>
          <cell r="X330">
            <v>0</v>
          </cell>
          <cell r="Y330">
            <v>0</v>
          </cell>
          <cell r="Z330">
            <v>0</v>
          </cell>
          <cell r="AA330">
            <v>0</v>
          </cell>
          <cell r="AB330">
            <v>0</v>
          </cell>
          <cell r="AC330">
            <v>0</v>
          </cell>
          <cell r="AD330">
            <v>0</v>
          </cell>
          <cell r="AE330">
            <v>0</v>
          </cell>
          <cell r="AF330">
            <v>0</v>
          </cell>
        </row>
        <row r="331">
          <cell r="A331">
            <v>1700007</v>
          </cell>
          <cell r="H331">
            <v>10000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row>
        <row r="332">
          <cell r="A332">
            <v>1700007</v>
          </cell>
          <cell r="H332">
            <v>10000</v>
          </cell>
          <cell r="K332">
            <v>0</v>
          </cell>
          <cell r="L332">
            <v>0</v>
          </cell>
          <cell r="M332">
            <v>-3043.26</v>
          </cell>
          <cell r="N332">
            <v>0</v>
          </cell>
          <cell r="O332">
            <v>0</v>
          </cell>
          <cell r="P332">
            <v>0</v>
          </cell>
          <cell r="Q332">
            <v>0</v>
          </cell>
          <cell r="R332">
            <v>0</v>
          </cell>
          <cell r="S332">
            <v>0</v>
          </cell>
          <cell r="T332">
            <v>0</v>
          </cell>
          <cell r="U332">
            <v>0</v>
          </cell>
          <cell r="V332">
            <v>-967.68</v>
          </cell>
          <cell r="W332">
            <v>0</v>
          </cell>
          <cell r="X332">
            <v>0</v>
          </cell>
          <cell r="Y332">
            <v>0</v>
          </cell>
          <cell r="Z332">
            <v>0</v>
          </cell>
          <cell r="AA332">
            <v>0</v>
          </cell>
          <cell r="AB332">
            <v>0</v>
          </cell>
          <cell r="AC332">
            <v>0</v>
          </cell>
          <cell r="AD332">
            <v>0</v>
          </cell>
          <cell r="AE332">
            <v>0</v>
          </cell>
          <cell r="AF332">
            <v>0</v>
          </cell>
        </row>
        <row r="333">
          <cell r="A333">
            <v>1700007</v>
          </cell>
          <cell r="H333">
            <v>10000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row>
        <row r="334">
          <cell r="A334">
            <v>1700008</v>
          </cell>
          <cell r="B334" t="str">
            <v>1700008</v>
          </cell>
          <cell r="C334" t="str">
            <v>0</v>
          </cell>
          <cell r="D334" t="str">
            <v>17000</v>
          </cell>
          <cell r="E334" t="str">
            <v>TCSADMIN</v>
          </cell>
          <cell r="F334" t="str">
            <v/>
          </cell>
          <cell r="G334" t="str">
            <v>OPTICAL FIBRE CABLE</v>
          </cell>
          <cell r="H334">
            <v>10000</v>
          </cell>
          <cell r="K334">
            <v>0</v>
          </cell>
          <cell r="L334">
            <v>0</v>
          </cell>
          <cell r="M334">
            <v>-5695.5</v>
          </cell>
          <cell r="N334">
            <v>0</v>
          </cell>
          <cell r="O334">
            <v>0</v>
          </cell>
          <cell r="P334">
            <v>0</v>
          </cell>
          <cell r="Q334">
            <v>0</v>
          </cell>
          <cell r="R334">
            <v>0</v>
          </cell>
          <cell r="S334">
            <v>0</v>
          </cell>
          <cell r="T334">
            <v>0</v>
          </cell>
          <cell r="U334">
            <v>0</v>
          </cell>
          <cell r="V334">
            <v>-598.76</v>
          </cell>
          <cell r="W334">
            <v>0</v>
          </cell>
          <cell r="X334">
            <v>0</v>
          </cell>
          <cell r="Y334">
            <v>0</v>
          </cell>
          <cell r="Z334">
            <v>0</v>
          </cell>
          <cell r="AA334">
            <v>0</v>
          </cell>
          <cell r="AB334">
            <v>0</v>
          </cell>
          <cell r="AC334">
            <v>0</v>
          </cell>
          <cell r="AD334">
            <v>0</v>
          </cell>
          <cell r="AE334">
            <v>0</v>
          </cell>
          <cell r="AF334">
            <v>0</v>
          </cell>
        </row>
        <row r="335">
          <cell r="A335">
            <v>1700008</v>
          </cell>
          <cell r="H335">
            <v>10000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row>
        <row r="336">
          <cell r="A336">
            <v>1700008</v>
          </cell>
          <cell r="H336">
            <v>10000</v>
          </cell>
          <cell r="K336">
            <v>0</v>
          </cell>
          <cell r="L336">
            <v>0</v>
          </cell>
          <cell r="M336">
            <v>-6294.26</v>
          </cell>
          <cell r="N336">
            <v>0</v>
          </cell>
          <cell r="O336">
            <v>0</v>
          </cell>
          <cell r="P336">
            <v>0</v>
          </cell>
          <cell r="Q336">
            <v>0</v>
          </cell>
          <cell r="R336">
            <v>0</v>
          </cell>
          <cell r="S336">
            <v>0</v>
          </cell>
          <cell r="T336">
            <v>0</v>
          </cell>
          <cell r="U336">
            <v>0</v>
          </cell>
          <cell r="V336">
            <v>-515.47</v>
          </cell>
          <cell r="W336">
            <v>0</v>
          </cell>
          <cell r="X336">
            <v>0</v>
          </cell>
          <cell r="Y336">
            <v>0</v>
          </cell>
          <cell r="Z336">
            <v>0</v>
          </cell>
          <cell r="AA336">
            <v>0</v>
          </cell>
          <cell r="AB336">
            <v>0</v>
          </cell>
          <cell r="AC336">
            <v>0</v>
          </cell>
          <cell r="AD336">
            <v>0</v>
          </cell>
          <cell r="AE336">
            <v>0</v>
          </cell>
          <cell r="AF336">
            <v>0</v>
          </cell>
        </row>
        <row r="337">
          <cell r="A337">
            <v>1700008</v>
          </cell>
          <cell r="H337">
            <v>10000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row>
        <row r="338">
          <cell r="A338">
            <v>1700009</v>
          </cell>
          <cell r="B338" t="str">
            <v>1700009</v>
          </cell>
          <cell r="C338" t="str">
            <v>0</v>
          </cell>
          <cell r="D338" t="str">
            <v>17000</v>
          </cell>
          <cell r="E338" t="str">
            <v>TCSADMIN</v>
          </cell>
          <cell r="F338" t="str">
            <v/>
          </cell>
          <cell r="G338" t="str">
            <v>OPTICAL FIBRE CABLE</v>
          </cell>
          <cell r="H338">
            <v>20000</v>
          </cell>
          <cell r="K338">
            <v>0</v>
          </cell>
          <cell r="L338">
            <v>0</v>
          </cell>
          <cell r="M338">
            <v>-2854.18</v>
          </cell>
          <cell r="N338">
            <v>0</v>
          </cell>
          <cell r="O338">
            <v>0</v>
          </cell>
          <cell r="P338">
            <v>0</v>
          </cell>
          <cell r="Q338">
            <v>0</v>
          </cell>
          <cell r="R338">
            <v>0</v>
          </cell>
          <cell r="S338">
            <v>0</v>
          </cell>
          <cell r="T338">
            <v>0</v>
          </cell>
          <cell r="U338">
            <v>0</v>
          </cell>
          <cell r="V338">
            <v>-2384.98</v>
          </cell>
          <cell r="W338">
            <v>0</v>
          </cell>
          <cell r="X338">
            <v>0</v>
          </cell>
          <cell r="Y338">
            <v>0</v>
          </cell>
          <cell r="Z338">
            <v>0</v>
          </cell>
          <cell r="AA338">
            <v>0</v>
          </cell>
          <cell r="AB338">
            <v>0</v>
          </cell>
          <cell r="AC338">
            <v>0</v>
          </cell>
          <cell r="AD338">
            <v>0</v>
          </cell>
          <cell r="AE338">
            <v>0</v>
          </cell>
          <cell r="AF338">
            <v>0</v>
          </cell>
        </row>
        <row r="339">
          <cell r="A339">
            <v>1700009</v>
          </cell>
          <cell r="H339">
            <v>20000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row>
        <row r="340">
          <cell r="A340">
            <v>1700009</v>
          </cell>
          <cell r="H340">
            <v>20000</v>
          </cell>
          <cell r="K340">
            <v>0</v>
          </cell>
          <cell r="L340">
            <v>0</v>
          </cell>
          <cell r="M340">
            <v>-5239.16</v>
          </cell>
          <cell r="N340">
            <v>0</v>
          </cell>
          <cell r="O340">
            <v>0</v>
          </cell>
          <cell r="P340">
            <v>0</v>
          </cell>
          <cell r="Q340">
            <v>0</v>
          </cell>
          <cell r="R340">
            <v>0</v>
          </cell>
          <cell r="S340">
            <v>0</v>
          </cell>
          <cell r="T340">
            <v>0</v>
          </cell>
          <cell r="U340">
            <v>0</v>
          </cell>
          <cell r="V340">
            <v>-2053.23</v>
          </cell>
          <cell r="W340">
            <v>0</v>
          </cell>
          <cell r="X340">
            <v>0</v>
          </cell>
          <cell r="Y340">
            <v>0</v>
          </cell>
          <cell r="Z340">
            <v>0</v>
          </cell>
          <cell r="AA340">
            <v>0</v>
          </cell>
          <cell r="AB340">
            <v>0</v>
          </cell>
          <cell r="AC340">
            <v>0</v>
          </cell>
          <cell r="AD340">
            <v>0</v>
          </cell>
          <cell r="AE340">
            <v>0</v>
          </cell>
          <cell r="AF340">
            <v>0</v>
          </cell>
        </row>
        <row r="341">
          <cell r="A341">
            <v>1700009</v>
          </cell>
          <cell r="H341">
            <v>20000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row>
        <row r="342">
          <cell r="A342">
            <v>1700010</v>
          </cell>
          <cell r="B342" t="str">
            <v>1700010</v>
          </cell>
          <cell r="C342" t="str">
            <v>0</v>
          </cell>
          <cell r="D342" t="str">
            <v>17000</v>
          </cell>
          <cell r="E342" t="str">
            <v>TCSADMIN</v>
          </cell>
          <cell r="F342" t="str">
            <v/>
          </cell>
          <cell r="G342" t="str">
            <v>FIBER OPTIC TRANCEIVER</v>
          </cell>
          <cell r="H342">
            <v>8250</v>
          </cell>
          <cell r="K342">
            <v>0</v>
          </cell>
          <cell r="L342">
            <v>0</v>
          </cell>
          <cell r="M342">
            <v>-1588.77</v>
          </cell>
          <cell r="N342">
            <v>0</v>
          </cell>
          <cell r="O342">
            <v>0</v>
          </cell>
          <cell r="P342">
            <v>0</v>
          </cell>
          <cell r="Q342">
            <v>0</v>
          </cell>
          <cell r="R342">
            <v>0</v>
          </cell>
          <cell r="S342">
            <v>0</v>
          </cell>
          <cell r="T342">
            <v>0</v>
          </cell>
          <cell r="U342">
            <v>0</v>
          </cell>
          <cell r="V342">
            <v>-926.58</v>
          </cell>
          <cell r="W342">
            <v>0</v>
          </cell>
          <cell r="X342">
            <v>0</v>
          </cell>
          <cell r="Y342">
            <v>0</v>
          </cell>
          <cell r="Z342">
            <v>0</v>
          </cell>
          <cell r="AA342">
            <v>0</v>
          </cell>
          <cell r="AB342">
            <v>0</v>
          </cell>
          <cell r="AC342">
            <v>0</v>
          </cell>
          <cell r="AD342">
            <v>0</v>
          </cell>
          <cell r="AE342">
            <v>0</v>
          </cell>
          <cell r="AF342">
            <v>0</v>
          </cell>
        </row>
        <row r="343">
          <cell r="A343">
            <v>1700010</v>
          </cell>
          <cell r="H343">
            <v>8250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row>
        <row r="344">
          <cell r="A344">
            <v>1700010</v>
          </cell>
          <cell r="H344">
            <v>8250</v>
          </cell>
          <cell r="K344">
            <v>0</v>
          </cell>
          <cell r="L344">
            <v>0</v>
          </cell>
          <cell r="M344">
            <v>-2515.35</v>
          </cell>
          <cell r="N344">
            <v>0</v>
          </cell>
          <cell r="O344">
            <v>0</v>
          </cell>
          <cell r="P344">
            <v>0</v>
          </cell>
          <cell r="Q344">
            <v>0</v>
          </cell>
          <cell r="R344">
            <v>0</v>
          </cell>
          <cell r="S344">
            <v>0</v>
          </cell>
          <cell r="T344">
            <v>0</v>
          </cell>
          <cell r="U344">
            <v>0</v>
          </cell>
          <cell r="V344">
            <v>-797.69</v>
          </cell>
          <cell r="W344">
            <v>0</v>
          </cell>
          <cell r="X344">
            <v>0</v>
          </cell>
          <cell r="Y344">
            <v>0</v>
          </cell>
          <cell r="Z344">
            <v>0</v>
          </cell>
          <cell r="AA344">
            <v>0</v>
          </cell>
          <cell r="AB344">
            <v>0</v>
          </cell>
          <cell r="AC344">
            <v>0</v>
          </cell>
          <cell r="AD344">
            <v>0</v>
          </cell>
          <cell r="AE344">
            <v>0</v>
          </cell>
          <cell r="AF344">
            <v>0</v>
          </cell>
        </row>
        <row r="345">
          <cell r="A345">
            <v>1700010</v>
          </cell>
          <cell r="H345">
            <v>8250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row>
        <row r="346">
          <cell r="A346">
            <v>1700011</v>
          </cell>
          <cell r="B346" t="str">
            <v>1700011</v>
          </cell>
          <cell r="C346" t="str">
            <v>0</v>
          </cell>
          <cell r="D346" t="str">
            <v>17000</v>
          </cell>
          <cell r="E346" t="str">
            <v>TCSADMIN</v>
          </cell>
          <cell r="F346" t="str">
            <v/>
          </cell>
          <cell r="G346" t="str">
            <v>OPTICAL FIBRE CABLE</v>
          </cell>
          <cell r="H346">
            <v>189380</v>
          </cell>
          <cell r="K346">
            <v>0</v>
          </cell>
          <cell r="L346">
            <v>0</v>
          </cell>
          <cell r="M346">
            <v>-5196.38</v>
          </cell>
          <cell r="N346">
            <v>0</v>
          </cell>
          <cell r="O346">
            <v>0</v>
          </cell>
          <cell r="P346">
            <v>0</v>
          </cell>
          <cell r="Q346">
            <v>0</v>
          </cell>
          <cell r="R346">
            <v>0</v>
          </cell>
          <cell r="S346">
            <v>0</v>
          </cell>
          <cell r="T346">
            <v>0</v>
          </cell>
          <cell r="U346">
            <v>0</v>
          </cell>
          <cell r="V346">
            <v>-25619.94</v>
          </cell>
          <cell r="W346">
            <v>0</v>
          </cell>
          <cell r="X346">
            <v>0</v>
          </cell>
          <cell r="Y346">
            <v>0</v>
          </cell>
          <cell r="Z346">
            <v>0</v>
          </cell>
          <cell r="AA346">
            <v>0</v>
          </cell>
          <cell r="AB346">
            <v>0</v>
          </cell>
          <cell r="AC346">
            <v>0</v>
          </cell>
          <cell r="AD346">
            <v>0</v>
          </cell>
          <cell r="AE346">
            <v>0</v>
          </cell>
          <cell r="AF346">
            <v>0</v>
          </cell>
        </row>
        <row r="347">
          <cell r="A347">
            <v>1700011</v>
          </cell>
          <cell r="H347">
            <v>189380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row>
        <row r="348">
          <cell r="A348">
            <v>1700011</v>
          </cell>
          <cell r="H348">
            <v>189380</v>
          </cell>
          <cell r="K348">
            <v>0</v>
          </cell>
          <cell r="L348">
            <v>0</v>
          </cell>
          <cell r="M348">
            <v>-30816.32</v>
          </cell>
          <cell r="N348">
            <v>0</v>
          </cell>
          <cell r="O348">
            <v>0</v>
          </cell>
          <cell r="P348">
            <v>0</v>
          </cell>
          <cell r="Q348">
            <v>0</v>
          </cell>
          <cell r="R348">
            <v>0</v>
          </cell>
          <cell r="S348">
            <v>0</v>
          </cell>
          <cell r="T348">
            <v>0</v>
          </cell>
          <cell r="U348">
            <v>0</v>
          </cell>
          <cell r="V348">
            <v>-22056.21</v>
          </cell>
          <cell r="W348">
            <v>0</v>
          </cell>
          <cell r="X348">
            <v>0</v>
          </cell>
          <cell r="Y348">
            <v>0</v>
          </cell>
          <cell r="Z348">
            <v>0</v>
          </cell>
          <cell r="AA348">
            <v>0</v>
          </cell>
          <cell r="AB348">
            <v>0</v>
          </cell>
          <cell r="AC348">
            <v>0</v>
          </cell>
          <cell r="AD348">
            <v>0</v>
          </cell>
          <cell r="AE348">
            <v>0</v>
          </cell>
          <cell r="AF348">
            <v>0</v>
          </cell>
        </row>
        <row r="349">
          <cell r="A349">
            <v>1700011</v>
          </cell>
          <cell r="H349">
            <v>189380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row>
        <row r="350">
          <cell r="A350">
            <v>1700012</v>
          </cell>
          <cell r="B350" t="str">
            <v>1700012</v>
          </cell>
          <cell r="C350" t="str">
            <v>0</v>
          </cell>
          <cell r="D350" t="str">
            <v>17000</v>
          </cell>
          <cell r="E350" t="str">
            <v>TCSADMIN</v>
          </cell>
          <cell r="F350" t="str">
            <v/>
          </cell>
          <cell r="G350" t="str">
            <v>OPTICAL FIBRE CABLE</v>
          </cell>
          <cell r="H350">
            <v>27900</v>
          </cell>
          <cell r="K350">
            <v>0</v>
          </cell>
          <cell r="L350">
            <v>0</v>
          </cell>
          <cell r="M350">
            <v>-2041.45</v>
          </cell>
          <cell r="N350">
            <v>0</v>
          </cell>
          <cell r="O350">
            <v>0</v>
          </cell>
          <cell r="P350">
            <v>0</v>
          </cell>
          <cell r="Q350">
            <v>0</v>
          </cell>
          <cell r="R350">
            <v>0</v>
          </cell>
          <cell r="S350">
            <v>0</v>
          </cell>
          <cell r="T350">
            <v>0</v>
          </cell>
          <cell r="U350">
            <v>0</v>
          </cell>
          <cell r="V350">
            <v>-3596.92</v>
          </cell>
          <cell r="W350">
            <v>0</v>
          </cell>
          <cell r="X350">
            <v>0</v>
          </cell>
          <cell r="Y350">
            <v>0</v>
          </cell>
          <cell r="Z350">
            <v>0</v>
          </cell>
          <cell r="AA350">
            <v>0</v>
          </cell>
          <cell r="AB350">
            <v>0</v>
          </cell>
          <cell r="AC350">
            <v>0</v>
          </cell>
          <cell r="AD350">
            <v>0</v>
          </cell>
          <cell r="AE350">
            <v>0</v>
          </cell>
          <cell r="AF350">
            <v>0</v>
          </cell>
        </row>
        <row r="351">
          <cell r="A351">
            <v>1700012</v>
          </cell>
          <cell r="H351">
            <v>27900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row>
        <row r="352">
          <cell r="A352">
            <v>1700012</v>
          </cell>
          <cell r="H352">
            <v>27900</v>
          </cell>
          <cell r="K352">
            <v>0</v>
          </cell>
          <cell r="L352">
            <v>0</v>
          </cell>
          <cell r="M352">
            <v>-5638.37</v>
          </cell>
          <cell r="N352">
            <v>0</v>
          </cell>
          <cell r="O352">
            <v>0</v>
          </cell>
          <cell r="P352">
            <v>0</v>
          </cell>
          <cell r="Q352">
            <v>0</v>
          </cell>
          <cell r="R352">
            <v>0</v>
          </cell>
          <cell r="S352">
            <v>0</v>
          </cell>
          <cell r="T352">
            <v>0</v>
          </cell>
          <cell r="U352">
            <v>0</v>
          </cell>
          <cell r="V352">
            <v>-3096.59</v>
          </cell>
          <cell r="W352">
            <v>0</v>
          </cell>
          <cell r="X352">
            <v>0</v>
          </cell>
          <cell r="Y352">
            <v>0</v>
          </cell>
          <cell r="Z352">
            <v>0</v>
          </cell>
          <cell r="AA352">
            <v>0</v>
          </cell>
          <cell r="AB352">
            <v>0</v>
          </cell>
          <cell r="AC352">
            <v>0</v>
          </cell>
          <cell r="AD352">
            <v>0</v>
          </cell>
          <cell r="AE352">
            <v>0</v>
          </cell>
          <cell r="AF352">
            <v>0</v>
          </cell>
        </row>
        <row r="353">
          <cell r="A353">
            <v>1700012</v>
          </cell>
          <cell r="H353">
            <v>27900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row>
        <row r="354">
          <cell r="A354">
            <v>1700013</v>
          </cell>
          <cell r="B354" t="str">
            <v>1700013</v>
          </cell>
          <cell r="C354" t="str">
            <v>0</v>
          </cell>
          <cell r="D354" t="str">
            <v>17000</v>
          </cell>
          <cell r="E354" t="str">
            <v>TCSADMIN</v>
          </cell>
          <cell r="F354" t="str">
            <v/>
          </cell>
          <cell r="G354" t="str">
            <v>FIBER OPTIC TRANCEIVER</v>
          </cell>
          <cell r="H354">
            <v>21000</v>
          </cell>
          <cell r="K354">
            <v>0</v>
          </cell>
          <cell r="L354">
            <v>0</v>
          </cell>
          <cell r="M354">
            <v>-400.15</v>
          </cell>
          <cell r="N354">
            <v>0</v>
          </cell>
          <cell r="O354">
            <v>0</v>
          </cell>
          <cell r="P354">
            <v>0</v>
          </cell>
          <cell r="Q354">
            <v>0</v>
          </cell>
          <cell r="R354">
            <v>0</v>
          </cell>
          <cell r="S354">
            <v>0</v>
          </cell>
          <cell r="T354">
            <v>0</v>
          </cell>
          <cell r="U354">
            <v>0</v>
          </cell>
          <cell r="V354">
            <v>-2865.44</v>
          </cell>
          <cell r="W354">
            <v>0</v>
          </cell>
          <cell r="X354">
            <v>0</v>
          </cell>
          <cell r="Y354">
            <v>0</v>
          </cell>
          <cell r="Z354">
            <v>0</v>
          </cell>
          <cell r="AA354">
            <v>0</v>
          </cell>
          <cell r="AB354">
            <v>0</v>
          </cell>
          <cell r="AC354">
            <v>0</v>
          </cell>
          <cell r="AD354">
            <v>0</v>
          </cell>
          <cell r="AE354">
            <v>0</v>
          </cell>
          <cell r="AF354">
            <v>0</v>
          </cell>
        </row>
        <row r="355">
          <cell r="A355">
            <v>1700013</v>
          </cell>
          <cell r="H355">
            <v>21000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row>
        <row r="356">
          <cell r="A356">
            <v>1700013</v>
          </cell>
          <cell r="H356">
            <v>21000</v>
          </cell>
          <cell r="K356">
            <v>0</v>
          </cell>
          <cell r="L356">
            <v>0</v>
          </cell>
          <cell r="M356">
            <v>-3265.59</v>
          </cell>
          <cell r="N356">
            <v>0</v>
          </cell>
          <cell r="O356">
            <v>0</v>
          </cell>
          <cell r="P356">
            <v>0</v>
          </cell>
          <cell r="Q356">
            <v>0</v>
          </cell>
          <cell r="R356">
            <v>0</v>
          </cell>
          <cell r="S356">
            <v>0</v>
          </cell>
          <cell r="T356">
            <v>0</v>
          </cell>
          <cell r="U356">
            <v>0</v>
          </cell>
          <cell r="V356">
            <v>-2466.86</v>
          </cell>
          <cell r="W356">
            <v>0</v>
          </cell>
          <cell r="X356">
            <v>0</v>
          </cell>
          <cell r="Y356">
            <v>0</v>
          </cell>
          <cell r="Z356">
            <v>0</v>
          </cell>
          <cell r="AA356">
            <v>0</v>
          </cell>
          <cell r="AB356">
            <v>0</v>
          </cell>
          <cell r="AC356">
            <v>0</v>
          </cell>
          <cell r="AD356">
            <v>0</v>
          </cell>
          <cell r="AE356">
            <v>0</v>
          </cell>
          <cell r="AF356">
            <v>0</v>
          </cell>
        </row>
        <row r="357">
          <cell r="A357">
            <v>1700013</v>
          </cell>
          <cell r="H357">
            <v>21000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row>
        <row r="358">
          <cell r="A358">
            <v>1700014</v>
          </cell>
          <cell r="B358" t="str">
            <v>1700014</v>
          </cell>
          <cell r="C358" t="str">
            <v>0</v>
          </cell>
          <cell r="D358" t="str">
            <v>17000</v>
          </cell>
          <cell r="E358" t="str">
            <v>TCSADMIN</v>
          </cell>
          <cell r="F358" t="str">
            <v/>
          </cell>
          <cell r="G358" t="str">
            <v>JELLY FILLED CABLE</v>
          </cell>
          <cell r="H358">
            <v>48048</v>
          </cell>
          <cell r="K358">
            <v>0</v>
          </cell>
          <cell r="L358">
            <v>0</v>
          </cell>
          <cell r="M358">
            <v>-3259.34</v>
          </cell>
          <cell r="N358">
            <v>0</v>
          </cell>
          <cell r="O358">
            <v>0</v>
          </cell>
          <cell r="P358">
            <v>0</v>
          </cell>
          <cell r="Q358">
            <v>0</v>
          </cell>
          <cell r="R358">
            <v>0</v>
          </cell>
          <cell r="S358">
            <v>0</v>
          </cell>
          <cell r="T358">
            <v>0</v>
          </cell>
          <cell r="U358">
            <v>0</v>
          </cell>
          <cell r="V358">
            <v>-6230.1</v>
          </cell>
          <cell r="W358">
            <v>0</v>
          </cell>
          <cell r="X358">
            <v>0</v>
          </cell>
          <cell r="Y358">
            <v>0</v>
          </cell>
          <cell r="Z358">
            <v>0</v>
          </cell>
          <cell r="AA358">
            <v>0</v>
          </cell>
          <cell r="AB358">
            <v>0</v>
          </cell>
          <cell r="AC358">
            <v>0</v>
          </cell>
          <cell r="AD358">
            <v>0</v>
          </cell>
          <cell r="AE358">
            <v>0</v>
          </cell>
          <cell r="AF358">
            <v>0</v>
          </cell>
        </row>
        <row r="359">
          <cell r="A359">
            <v>1700014</v>
          </cell>
          <cell r="H359">
            <v>48048</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row>
        <row r="360">
          <cell r="A360">
            <v>1700014</v>
          </cell>
          <cell r="H360">
            <v>48048</v>
          </cell>
          <cell r="K360">
            <v>0</v>
          </cell>
          <cell r="L360">
            <v>0</v>
          </cell>
          <cell r="M360">
            <v>-9489.44</v>
          </cell>
          <cell r="N360">
            <v>0</v>
          </cell>
          <cell r="O360">
            <v>0</v>
          </cell>
          <cell r="P360">
            <v>0</v>
          </cell>
          <cell r="Q360">
            <v>0</v>
          </cell>
          <cell r="R360">
            <v>0</v>
          </cell>
          <cell r="S360">
            <v>0</v>
          </cell>
          <cell r="T360">
            <v>0</v>
          </cell>
          <cell r="U360">
            <v>0</v>
          </cell>
          <cell r="V360">
            <v>-5363.5</v>
          </cell>
          <cell r="W360">
            <v>0</v>
          </cell>
          <cell r="X360">
            <v>0</v>
          </cell>
          <cell r="Y360">
            <v>0</v>
          </cell>
          <cell r="Z360">
            <v>0</v>
          </cell>
          <cell r="AA360">
            <v>0</v>
          </cell>
          <cell r="AB360">
            <v>0</v>
          </cell>
          <cell r="AC360">
            <v>0</v>
          </cell>
          <cell r="AD360">
            <v>0</v>
          </cell>
          <cell r="AE360">
            <v>0</v>
          </cell>
          <cell r="AF360">
            <v>0</v>
          </cell>
        </row>
        <row r="361">
          <cell r="A361">
            <v>1700014</v>
          </cell>
          <cell r="H361">
            <v>48048</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row>
        <row r="362">
          <cell r="A362">
            <v>1700015</v>
          </cell>
          <cell r="B362" t="str">
            <v>1700015</v>
          </cell>
          <cell r="C362" t="str">
            <v>0</v>
          </cell>
          <cell r="D362" t="str">
            <v>17000</v>
          </cell>
          <cell r="E362" t="str">
            <v>TCSADMIN</v>
          </cell>
          <cell r="F362" t="str">
            <v/>
          </cell>
          <cell r="G362" t="str">
            <v>ROUTER</v>
          </cell>
          <cell r="H362">
            <v>99350</v>
          </cell>
          <cell r="K362">
            <v>0</v>
          </cell>
          <cell r="L362">
            <v>0</v>
          </cell>
          <cell r="M362">
            <v>-31385.25</v>
          </cell>
          <cell r="N362">
            <v>0</v>
          </cell>
          <cell r="O362">
            <v>0</v>
          </cell>
          <cell r="P362">
            <v>0</v>
          </cell>
          <cell r="Q362">
            <v>0</v>
          </cell>
          <cell r="R362">
            <v>0</v>
          </cell>
          <cell r="S362">
            <v>0</v>
          </cell>
          <cell r="T362">
            <v>0</v>
          </cell>
          <cell r="U362">
            <v>0</v>
          </cell>
          <cell r="V362">
            <v>-9453.9</v>
          </cell>
          <cell r="W362">
            <v>0</v>
          </cell>
          <cell r="X362">
            <v>0</v>
          </cell>
          <cell r="Y362">
            <v>0</v>
          </cell>
          <cell r="Z362">
            <v>0</v>
          </cell>
          <cell r="AA362">
            <v>0</v>
          </cell>
          <cell r="AB362">
            <v>0</v>
          </cell>
          <cell r="AC362">
            <v>0</v>
          </cell>
          <cell r="AD362">
            <v>0</v>
          </cell>
          <cell r="AE362">
            <v>0</v>
          </cell>
          <cell r="AF362">
            <v>0</v>
          </cell>
        </row>
        <row r="363">
          <cell r="A363">
            <v>1700015</v>
          </cell>
          <cell r="H363">
            <v>99350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row>
        <row r="364">
          <cell r="A364">
            <v>1700015</v>
          </cell>
          <cell r="H364">
            <v>99350</v>
          </cell>
          <cell r="K364">
            <v>0</v>
          </cell>
          <cell r="L364">
            <v>0</v>
          </cell>
          <cell r="M364">
            <v>-40839.15</v>
          </cell>
          <cell r="N364">
            <v>0</v>
          </cell>
          <cell r="O364">
            <v>0</v>
          </cell>
          <cell r="P364">
            <v>0</v>
          </cell>
          <cell r="Q364">
            <v>0</v>
          </cell>
          <cell r="R364">
            <v>0</v>
          </cell>
          <cell r="S364">
            <v>0</v>
          </cell>
          <cell r="T364">
            <v>0</v>
          </cell>
          <cell r="U364">
            <v>0</v>
          </cell>
          <cell r="V364">
            <v>-8138.86</v>
          </cell>
          <cell r="W364">
            <v>0</v>
          </cell>
          <cell r="X364">
            <v>0</v>
          </cell>
          <cell r="Y364">
            <v>0</v>
          </cell>
          <cell r="Z364">
            <v>0</v>
          </cell>
          <cell r="AA364">
            <v>0</v>
          </cell>
          <cell r="AB364">
            <v>0</v>
          </cell>
          <cell r="AC364">
            <v>0</v>
          </cell>
          <cell r="AD364">
            <v>0</v>
          </cell>
          <cell r="AE364">
            <v>0</v>
          </cell>
          <cell r="AF364">
            <v>0</v>
          </cell>
        </row>
        <row r="365">
          <cell r="A365">
            <v>1700015</v>
          </cell>
          <cell r="H365">
            <v>99350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row>
        <row r="366">
          <cell r="A366">
            <v>1700016</v>
          </cell>
          <cell r="B366" t="str">
            <v>1700016</v>
          </cell>
          <cell r="C366" t="str">
            <v>0</v>
          </cell>
          <cell r="D366" t="str">
            <v>17000</v>
          </cell>
          <cell r="E366" t="str">
            <v>TCSADMIN</v>
          </cell>
          <cell r="F366" t="str">
            <v/>
          </cell>
          <cell r="G366" t="str">
            <v>1 WATT AMPLIFIER</v>
          </cell>
          <cell r="H366">
            <v>33000</v>
          </cell>
          <cell r="K366">
            <v>0</v>
          </cell>
          <cell r="L366">
            <v>0</v>
          </cell>
          <cell r="M366">
            <v>-5748.77</v>
          </cell>
          <cell r="N366">
            <v>0</v>
          </cell>
          <cell r="O366">
            <v>0</v>
          </cell>
          <cell r="P366">
            <v>0</v>
          </cell>
          <cell r="Q366">
            <v>0</v>
          </cell>
          <cell r="R366">
            <v>0</v>
          </cell>
          <cell r="S366">
            <v>0</v>
          </cell>
          <cell r="T366">
            <v>0</v>
          </cell>
          <cell r="U366">
            <v>0</v>
          </cell>
          <cell r="V366">
            <v>-3790.65</v>
          </cell>
          <cell r="W366">
            <v>0</v>
          </cell>
          <cell r="X366">
            <v>0</v>
          </cell>
          <cell r="Y366">
            <v>0</v>
          </cell>
          <cell r="Z366">
            <v>0</v>
          </cell>
          <cell r="AA366">
            <v>0</v>
          </cell>
          <cell r="AB366">
            <v>0</v>
          </cell>
          <cell r="AC366">
            <v>0</v>
          </cell>
          <cell r="AD366">
            <v>0</v>
          </cell>
          <cell r="AE366">
            <v>0</v>
          </cell>
          <cell r="AF366">
            <v>0</v>
          </cell>
        </row>
        <row r="367">
          <cell r="A367">
            <v>1700016</v>
          </cell>
          <cell r="H367">
            <v>33000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row>
        <row r="368">
          <cell r="A368">
            <v>1700016</v>
          </cell>
          <cell r="H368">
            <v>33000</v>
          </cell>
          <cell r="K368">
            <v>0</v>
          </cell>
          <cell r="L368">
            <v>0</v>
          </cell>
          <cell r="M368">
            <v>-9539.42</v>
          </cell>
          <cell r="N368">
            <v>0</v>
          </cell>
          <cell r="O368">
            <v>0</v>
          </cell>
          <cell r="P368">
            <v>0</v>
          </cell>
          <cell r="Q368">
            <v>0</v>
          </cell>
          <cell r="R368">
            <v>0</v>
          </cell>
          <cell r="S368">
            <v>0</v>
          </cell>
          <cell r="T368">
            <v>0</v>
          </cell>
          <cell r="U368">
            <v>0</v>
          </cell>
          <cell r="V368">
            <v>-3263.37</v>
          </cell>
          <cell r="W368">
            <v>0</v>
          </cell>
          <cell r="X368">
            <v>0</v>
          </cell>
          <cell r="Y368">
            <v>0</v>
          </cell>
          <cell r="Z368">
            <v>0</v>
          </cell>
          <cell r="AA368">
            <v>0</v>
          </cell>
          <cell r="AB368">
            <v>0</v>
          </cell>
          <cell r="AC368">
            <v>0</v>
          </cell>
          <cell r="AD368">
            <v>0</v>
          </cell>
          <cell r="AE368">
            <v>0</v>
          </cell>
          <cell r="AF368">
            <v>0</v>
          </cell>
        </row>
        <row r="369">
          <cell r="A369">
            <v>1700016</v>
          </cell>
          <cell r="H369">
            <v>33000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row>
        <row r="370">
          <cell r="A370">
            <v>1700017</v>
          </cell>
          <cell r="B370" t="str">
            <v>1700017</v>
          </cell>
          <cell r="C370" t="str">
            <v>0</v>
          </cell>
          <cell r="D370" t="str">
            <v>17000</v>
          </cell>
          <cell r="E370" t="str">
            <v>TCSADMIN</v>
          </cell>
          <cell r="F370" t="str">
            <v/>
          </cell>
          <cell r="G370" t="str">
            <v>100 MBPS FOT DAX MAKE</v>
          </cell>
          <cell r="H370">
            <v>18920</v>
          </cell>
          <cell r="K370">
            <v>0</v>
          </cell>
          <cell r="L370">
            <v>0</v>
          </cell>
          <cell r="M370">
            <v>-4382.25</v>
          </cell>
          <cell r="N370">
            <v>0</v>
          </cell>
          <cell r="O370">
            <v>0</v>
          </cell>
          <cell r="P370">
            <v>0</v>
          </cell>
          <cell r="Q370">
            <v>0</v>
          </cell>
          <cell r="R370">
            <v>0</v>
          </cell>
          <cell r="S370">
            <v>0</v>
          </cell>
          <cell r="T370">
            <v>0</v>
          </cell>
          <cell r="U370">
            <v>0</v>
          </cell>
          <cell r="V370">
            <v>-2022.2</v>
          </cell>
          <cell r="W370">
            <v>0</v>
          </cell>
          <cell r="X370">
            <v>0</v>
          </cell>
          <cell r="Y370">
            <v>0</v>
          </cell>
          <cell r="Z370">
            <v>0</v>
          </cell>
          <cell r="AA370">
            <v>0</v>
          </cell>
          <cell r="AB370">
            <v>0</v>
          </cell>
          <cell r="AC370">
            <v>0</v>
          </cell>
          <cell r="AD370">
            <v>0</v>
          </cell>
          <cell r="AE370">
            <v>0</v>
          </cell>
          <cell r="AF370">
            <v>0</v>
          </cell>
        </row>
        <row r="371">
          <cell r="A371">
            <v>1700017</v>
          </cell>
          <cell r="H371">
            <v>18920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row>
        <row r="372">
          <cell r="A372">
            <v>1700017</v>
          </cell>
          <cell r="H372">
            <v>18920</v>
          </cell>
          <cell r="K372">
            <v>0</v>
          </cell>
          <cell r="L372">
            <v>0</v>
          </cell>
          <cell r="M372">
            <v>-6404.45</v>
          </cell>
          <cell r="N372">
            <v>0</v>
          </cell>
          <cell r="O372">
            <v>0</v>
          </cell>
          <cell r="P372">
            <v>0</v>
          </cell>
          <cell r="Q372">
            <v>0</v>
          </cell>
          <cell r="R372">
            <v>0</v>
          </cell>
          <cell r="S372">
            <v>0</v>
          </cell>
          <cell r="T372">
            <v>0</v>
          </cell>
          <cell r="U372">
            <v>0</v>
          </cell>
          <cell r="V372">
            <v>-1740.91</v>
          </cell>
          <cell r="W372">
            <v>0</v>
          </cell>
          <cell r="X372">
            <v>0</v>
          </cell>
          <cell r="Y372">
            <v>0</v>
          </cell>
          <cell r="Z372">
            <v>0</v>
          </cell>
          <cell r="AA372">
            <v>0</v>
          </cell>
          <cell r="AB372">
            <v>0</v>
          </cell>
          <cell r="AC372">
            <v>0</v>
          </cell>
          <cell r="AD372">
            <v>0</v>
          </cell>
          <cell r="AE372">
            <v>0</v>
          </cell>
          <cell r="AF372">
            <v>0</v>
          </cell>
        </row>
        <row r="373">
          <cell r="A373">
            <v>1700017</v>
          </cell>
          <cell r="H373">
            <v>18920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row>
        <row r="374">
          <cell r="A374">
            <v>1700018</v>
          </cell>
          <cell r="B374" t="str">
            <v>1700018</v>
          </cell>
          <cell r="C374" t="str">
            <v>0</v>
          </cell>
          <cell r="D374" t="str">
            <v>17000</v>
          </cell>
          <cell r="E374" t="str">
            <v>TCSADMIN</v>
          </cell>
          <cell r="F374" t="str">
            <v/>
          </cell>
          <cell r="G374" t="str">
            <v>POWER AMPLIFIRE</v>
          </cell>
          <cell r="H374">
            <v>28000</v>
          </cell>
          <cell r="K374">
            <v>0</v>
          </cell>
          <cell r="L374">
            <v>0</v>
          </cell>
          <cell r="M374">
            <v>-2795.72</v>
          </cell>
          <cell r="N374">
            <v>0</v>
          </cell>
          <cell r="O374">
            <v>0</v>
          </cell>
          <cell r="P374">
            <v>0</v>
          </cell>
          <cell r="Q374">
            <v>0</v>
          </cell>
          <cell r="R374">
            <v>0</v>
          </cell>
          <cell r="S374">
            <v>0</v>
          </cell>
          <cell r="T374">
            <v>0</v>
          </cell>
          <cell r="U374">
            <v>0</v>
          </cell>
          <cell r="V374">
            <v>-3505.92</v>
          </cell>
          <cell r="W374">
            <v>0</v>
          </cell>
          <cell r="X374">
            <v>0</v>
          </cell>
          <cell r="Y374">
            <v>0</v>
          </cell>
          <cell r="Z374">
            <v>0</v>
          </cell>
          <cell r="AA374">
            <v>0</v>
          </cell>
          <cell r="AB374">
            <v>0</v>
          </cell>
          <cell r="AC374">
            <v>0</v>
          </cell>
          <cell r="AD374">
            <v>0</v>
          </cell>
          <cell r="AE374">
            <v>0</v>
          </cell>
          <cell r="AF374">
            <v>0</v>
          </cell>
        </row>
        <row r="375">
          <cell r="A375">
            <v>1700018</v>
          </cell>
          <cell r="H375">
            <v>28000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row>
        <row r="376">
          <cell r="A376">
            <v>1700018</v>
          </cell>
          <cell r="H376">
            <v>28000</v>
          </cell>
          <cell r="K376">
            <v>0</v>
          </cell>
          <cell r="L376">
            <v>0</v>
          </cell>
          <cell r="M376">
            <v>-6301.64</v>
          </cell>
          <cell r="N376">
            <v>0</v>
          </cell>
          <cell r="O376">
            <v>0</v>
          </cell>
          <cell r="P376">
            <v>0</v>
          </cell>
          <cell r="Q376">
            <v>0</v>
          </cell>
          <cell r="R376">
            <v>0</v>
          </cell>
          <cell r="S376">
            <v>0</v>
          </cell>
          <cell r="T376">
            <v>0</v>
          </cell>
          <cell r="U376">
            <v>0</v>
          </cell>
          <cell r="V376">
            <v>-3018.24</v>
          </cell>
          <cell r="W376">
            <v>0</v>
          </cell>
          <cell r="X376">
            <v>0</v>
          </cell>
          <cell r="Y376">
            <v>0</v>
          </cell>
          <cell r="Z376">
            <v>0</v>
          </cell>
          <cell r="AA376">
            <v>0</v>
          </cell>
          <cell r="AB376">
            <v>0</v>
          </cell>
          <cell r="AC376">
            <v>0</v>
          </cell>
          <cell r="AD376">
            <v>0</v>
          </cell>
          <cell r="AE376">
            <v>0</v>
          </cell>
          <cell r="AF376">
            <v>0</v>
          </cell>
        </row>
        <row r="377">
          <cell r="A377">
            <v>1700018</v>
          </cell>
          <cell r="H377">
            <v>28000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row>
        <row r="378">
          <cell r="A378">
            <v>1700019</v>
          </cell>
          <cell r="B378" t="str">
            <v>1700019</v>
          </cell>
          <cell r="C378" t="str">
            <v>0</v>
          </cell>
          <cell r="D378" t="str">
            <v>17000</v>
          </cell>
          <cell r="E378" t="str">
            <v>TCSADMIN</v>
          </cell>
          <cell r="F378" t="str">
            <v/>
          </cell>
          <cell r="G378" t="str">
            <v>CONVERTER</v>
          </cell>
          <cell r="H378">
            <v>43000</v>
          </cell>
          <cell r="K378">
            <v>0</v>
          </cell>
          <cell r="L378">
            <v>0</v>
          </cell>
          <cell r="M378">
            <v>-1737.04</v>
          </cell>
          <cell r="N378">
            <v>0</v>
          </cell>
          <cell r="O378">
            <v>0</v>
          </cell>
          <cell r="P378">
            <v>0</v>
          </cell>
          <cell r="Q378">
            <v>0</v>
          </cell>
          <cell r="R378">
            <v>0</v>
          </cell>
          <cell r="S378">
            <v>0</v>
          </cell>
          <cell r="T378">
            <v>0</v>
          </cell>
          <cell r="U378">
            <v>0</v>
          </cell>
          <cell r="V378">
            <v>-5739.68</v>
          </cell>
          <cell r="W378">
            <v>0</v>
          </cell>
          <cell r="X378">
            <v>0</v>
          </cell>
          <cell r="Y378">
            <v>0</v>
          </cell>
          <cell r="Z378">
            <v>0</v>
          </cell>
          <cell r="AA378">
            <v>0</v>
          </cell>
          <cell r="AB378">
            <v>0</v>
          </cell>
          <cell r="AC378">
            <v>0</v>
          </cell>
          <cell r="AD378">
            <v>0</v>
          </cell>
          <cell r="AE378">
            <v>0</v>
          </cell>
          <cell r="AF378">
            <v>0</v>
          </cell>
        </row>
        <row r="379">
          <cell r="A379">
            <v>1700019</v>
          </cell>
          <cell r="H379">
            <v>43000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row>
        <row r="380">
          <cell r="A380">
            <v>1700019</v>
          </cell>
          <cell r="H380">
            <v>43000</v>
          </cell>
          <cell r="K380">
            <v>0</v>
          </cell>
          <cell r="L380">
            <v>0</v>
          </cell>
          <cell r="M380">
            <v>-7476.72</v>
          </cell>
          <cell r="N380">
            <v>0</v>
          </cell>
          <cell r="O380">
            <v>0</v>
          </cell>
          <cell r="P380">
            <v>0</v>
          </cell>
          <cell r="Q380">
            <v>0</v>
          </cell>
          <cell r="R380">
            <v>0</v>
          </cell>
          <cell r="S380">
            <v>0</v>
          </cell>
          <cell r="T380">
            <v>0</v>
          </cell>
          <cell r="U380">
            <v>0</v>
          </cell>
          <cell r="V380">
            <v>-4941.29</v>
          </cell>
          <cell r="W380">
            <v>0</v>
          </cell>
          <cell r="X380">
            <v>0</v>
          </cell>
          <cell r="Y380">
            <v>0</v>
          </cell>
          <cell r="Z380">
            <v>0</v>
          </cell>
          <cell r="AA380">
            <v>0</v>
          </cell>
          <cell r="AB380">
            <v>0</v>
          </cell>
          <cell r="AC380">
            <v>0</v>
          </cell>
          <cell r="AD380">
            <v>0</v>
          </cell>
          <cell r="AE380">
            <v>0</v>
          </cell>
          <cell r="AF380">
            <v>0</v>
          </cell>
        </row>
        <row r="381">
          <cell r="A381">
            <v>1700019</v>
          </cell>
          <cell r="H381">
            <v>43000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row>
        <row r="382">
          <cell r="A382">
            <v>1700020</v>
          </cell>
          <cell r="B382" t="str">
            <v>1700020</v>
          </cell>
          <cell r="C382" t="str">
            <v>0</v>
          </cell>
          <cell r="D382" t="str">
            <v>17000</v>
          </cell>
          <cell r="E382" t="str">
            <v>TCSADMIN</v>
          </cell>
          <cell r="F382" t="str">
            <v/>
          </cell>
          <cell r="G382" t="str">
            <v>SERVO VOLTAGE STEBILIZER</v>
          </cell>
          <cell r="H382">
            <v>12060</v>
          </cell>
          <cell r="K382">
            <v>0</v>
          </cell>
          <cell r="L382">
            <v>0</v>
          </cell>
          <cell r="M382">
            <v>-110.3</v>
          </cell>
          <cell r="N382">
            <v>0</v>
          </cell>
          <cell r="O382">
            <v>0</v>
          </cell>
          <cell r="P382">
            <v>0</v>
          </cell>
          <cell r="Q382">
            <v>0</v>
          </cell>
          <cell r="R382">
            <v>0</v>
          </cell>
          <cell r="S382">
            <v>0</v>
          </cell>
          <cell r="T382">
            <v>0</v>
          </cell>
          <cell r="U382">
            <v>0</v>
          </cell>
          <cell r="V382">
            <v>-1662.2</v>
          </cell>
          <cell r="W382">
            <v>0</v>
          </cell>
          <cell r="X382">
            <v>0</v>
          </cell>
          <cell r="Y382">
            <v>0</v>
          </cell>
          <cell r="Z382">
            <v>0</v>
          </cell>
          <cell r="AA382">
            <v>0</v>
          </cell>
          <cell r="AB382">
            <v>0</v>
          </cell>
          <cell r="AC382">
            <v>0</v>
          </cell>
          <cell r="AD382">
            <v>0</v>
          </cell>
          <cell r="AE382">
            <v>0</v>
          </cell>
          <cell r="AF382">
            <v>0</v>
          </cell>
        </row>
        <row r="383">
          <cell r="A383">
            <v>1700020</v>
          </cell>
          <cell r="H383">
            <v>12060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row>
        <row r="384">
          <cell r="A384">
            <v>1700020</v>
          </cell>
          <cell r="H384">
            <v>12060</v>
          </cell>
          <cell r="K384">
            <v>0</v>
          </cell>
          <cell r="L384">
            <v>0</v>
          </cell>
          <cell r="M384">
            <v>-1772.5</v>
          </cell>
          <cell r="N384">
            <v>0</v>
          </cell>
          <cell r="O384">
            <v>0</v>
          </cell>
          <cell r="P384">
            <v>0</v>
          </cell>
          <cell r="Q384">
            <v>0</v>
          </cell>
          <cell r="R384">
            <v>0</v>
          </cell>
          <cell r="S384">
            <v>0</v>
          </cell>
          <cell r="T384">
            <v>0</v>
          </cell>
          <cell r="U384">
            <v>0</v>
          </cell>
          <cell r="V384">
            <v>-1430.99</v>
          </cell>
          <cell r="W384">
            <v>0</v>
          </cell>
          <cell r="X384">
            <v>0</v>
          </cell>
          <cell r="Y384">
            <v>0</v>
          </cell>
          <cell r="Z384">
            <v>0</v>
          </cell>
          <cell r="AA384">
            <v>0</v>
          </cell>
          <cell r="AB384">
            <v>0</v>
          </cell>
          <cell r="AC384">
            <v>0</v>
          </cell>
          <cell r="AD384">
            <v>0</v>
          </cell>
          <cell r="AE384">
            <v>0</v>
          </cell>
          <cell r="AF384">
            <v>0</v>
          </cell>
        </row>
        <row r="385">
          <cell r="A385">
            <v>1700020</v>
          </cell>
          <cell r="H385">
            <v>12060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row>
        <row r="386">
          <cell r="A386">
            <v>1700021</v>
          </cell>
          <cell r="B386" t="str">
            <v>1700021</v>
          </cell>
          <cell r="C386" t="str">
            <v>0</v>
          </cell>
          <cell r="D386" t="str">
            <v>17000</v>
          </cell>
          <cell r="E386" t="str">
            <v>G3PREMAL</v>
          </cell>
          <cell r="F386" t="str">
            <v/>
          </cell>
          <cell r="G386" t="str">
            <v>FIBER OPTIC TRANS RECEIVER</v>
          </cell>
          <cell r="H386">
            <v>0</v>
          </cell>
          <cell r="K386">
            <v>0</v>
          </cell>
          <cell r="L386">
            <v>0</v>
          </cell>
          <cell r="M386">
            <v>0</v>
          </cell>
          <cell r="N386">
            <v>0</v>
          </cell>
          <cell r="O386">
            <v>0</v>
          </cell>
          <cell r="P386">
            <v>0</v>
          </cell>
          <cell r="Q386">
            <v>0</v>
          </cell>
          <cell r="R386">
            <v>0</v>
          </cell>
          <cell r="S386">
            <v>0</v>
          </cell>
          <cell r="T386">
            <v>0</v>
          </cell>
          <cell r="U386">
            <v>0</v>
          </cell>
          <cell r="V386">
            <v>-400</v>
          </cell>
          <cell r="W386">
            <v>0</v>
          </cell>
          <cell r="X386">
            <v>0</v>
          </cell>
          <cell r="Y386">
            <v>0</v>
          </cell>
          <cell r="Z386">
            <v>0</v>
          </cell>
          <cell r="AA386">
            <v>0</v>
          </cell>
          <cell r="AB386">
            <v>8000</v>
          </cell>
          <cell r="AC386">
            <v>0</v>
          </cell>
          <cell r="AD386">
            <v>0</v>
          </cell>
          <cell r="AE386">
            <v>0</v>
          </cell>
          <cell r="AF386">
            <v>0</v>
          </cell>
        </row>
        <row r="387">
          <cell r="A387">
            <v>1700021</v>
          </cell>
          <cell r="H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8000</v>
          </cell>
          <cell r="AC387">
            <v>0</v>
          </cell>
          <cell r="AD387">
            <v>0</v>
          </cell>
          <cell r="AE387">
            <v>0</v>
          </cell>
          <cell r="AF387">
            <v>0</v>
          </cell>
        </row>
        <row r="388">
          <cell r="A388">
            <v>1700021</v>
          </cell>
          <cell r="H388">
            <v>8000</v>
          </cell>
          <cell r="K388">
            <v>0</v>
          </cell>
          <cell r="L388">
            <v>0</v>
          </cell>
          <cell r="M388">
            <v>-400</v>
          </cell>
          <cell r="N388">
            <v>0</v>
          </cell>
          <cell r="O388">
            <v>0</v>
          </cell>
          <cell r="P388">
            <v>0</v>
          </cell>
          <cell r="Q388">
            <v>0</v>
          </cell>
          <cell r="R388">
            <v>0</v>
          </cell>
          <cell r="S388">
            <v>0</v>
          </cell>
          <cell r="T388">
            <v>0</v>
          </cell>
          <cell r="U388">
            <v>0</v>
          </cell>
          <cell r="V388">
            <v>-456</v>
          </cell>
          <cell r="W388">
            <v>0</v>
          </cell>
          <cell r="X388">
            <v>0</v>
          </cell>
          <cell r="Y388">
            <v>0</v>
          </cell>
          <cell r="Z388">
            <v>0</v>
          </cell>
          <cell r="AA388">
            <v>0</v>
          </cell>
          <cell r="AB388">
            <v>0</v>
          </cell>
          <cell r="AC388">
            <v>0</v>
          </cell>
          <cell r="AD388">
            <v>0</v>
          </cell>
          <cell r="AE388">
            <v>0</v>
          </cell>
          <cell r="AF388">
            <v>0</v>
          </cell>
        </row>
        <row r="389">
          <cell r="A389">
            <v>1700021</v>
          </cell>
          <cell r="H389">
            <v>8000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row>
        <row r="390">
          <cell r="A390">
            <v>1700022</v>
          </cell>
          <cell r="B390" t="str">
            <v>1700022</v>
          </cell>
          <cell r="C390" t="str">
            <v>0</v>
          </cell>
          <cell r="D390" t="str">
            <v>17000</v>
          </cell>
          <cell r="E390" t="str">
            <v>G3PREMAL</v>
          </cell>
          <cell r="F390" t="str">
            <v/>
          </cell>
          <cell r="G390" t="str">
            <v>FIBER OPTIC TRANS RECEIVER-2</v>
          </cell>
          <cell r="H390">
            <v>0</v>
          </cell>
          <cell r="K390">
            <v>0</v>
          </cell>
          <cell r="L390">
            <v>0</v>
          </cell>
          <cell r="M390">
            <v>0</v>
          </cell>
          <cell r="N390">
            <v>0</v>
          </cell>
          <cell r="O390">
            <v>0</v>
          </cell>
          <cell r="P390">
            <v>0</v>
          </cell>
          <cell r="Q390">
            <v>0</v>
          </cell>
          <cell r="R390">
            <v>0</v>
          </cell>
          <cell r="S390">
            <v>0</v>
          </cell>
          <cell r="T390">
            <v>0</v>
          </cell>
          <cell r="U390">
            <v>0</v>
          </cell>
          <cell r="V390">
            <v>-400</v>
          </cell>
          <cell r="W390">
            <v>0</v>
          </cell>
          <cell r="X390">
            <v>0</v>
          </cell>
          <cell r="Y390">
            <v>0</v>
          </cell>
          <cell r="Z390">
            <v>0</v>
          </cell>
          <cell r="AA390">
            <v>0</v>
          </cell>
          <cell r="AB390">
            <v>8000</v>
          </cell>
          <cell r="AC390">
            <v>0</v>
          </cell>
          <cell r="AD390">
            <v>0</v>
          </cell>
          <cell r="AE390">
            <v>0</v>
          </cell>
          <cell r="AF390">
            <v>0</v>
          </cell>
        </row>
        <row r="391">
          <cell r="A391">
            <v>1700022</v>
          </cell>
          <cell r="H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8000</v>
          </cell>
          <cell r="AC391">
            <v>0</v>
          </cell>
          <cell r="AD391">
            <v>0</v>
          </cell>
          <cell r="AE391">
            <v>0</v>
          </cell>
          <cell r="AF391">
            <v>0</v>
          </cell>
        </row>
        <row r="392">
          <cell r="A392">
            <v>1700022</v>
          </cell>
          <cell r="H392">
            <v>8000</v>
          </cell>
          <cell r="K392">
            <v>0</v>
          </cell>
          <cell r="L392">
            <v>0</v>
          </cell>
          <cell r="M392">
            <v>-400</v>
          </cell>
          <cell r="N392">
            <v>0</v>
          </cell>
          <cell r="O392">
            <v>0</v>
          </cell>
          <cell r="P392">
            <v>0</v>
          </cell>
          <cell r="Q392">
            <v>0</v>
          </cell>
          <cell r="R392">
            <v>0</v>
          </cell>
          <cell r="S392">
            <v>0</v>
          </cell>
          <cell r="T392">
            <v>0</v>
          </cell>
          <cell r="U392">
            <v>0</v>
          </cell>
          <cell r="V392">
            <v>-456</v>
          </cell>
          <cell r="W392">
            <v>0</v>
          </cell>
          <cell r="X392">
            <v>0</v>
          </cell>
          <cell r="Y392">
            <v>0</v>
          </cell>
          <cell r="Z392">
            <v>0</v>
          </cell>
          <cell r="AA392">
            <v>0</v>
          </cell>
          <cell r="AB392">
            <v>0</v>
          </cell>
          <cell r="AC392">
            <v>0</v>
          </cell>
          <cell r="AD392">
            <v>0</v>
          </cell>
          <cell r="AE392">
            <v>0</v>
          </cell>
          <cell r="AF392">
            <v>0</v>
          </cell>
        </row>
        <row r="393">
          <cell r="A393">
            <v>1700022</v>
          </cell>
          <cell r="H393">
            <v>8000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row>
        <row r="394">
          <cell r="A394">
            <v>1700025</v>
          </cell>
          <cell r="B394" t="str">
            <v>1700025</v>
          </cell>
          <cell r="C394" t="str">
            <v>0</v>
          </cell>
          <cell r="D394" t="str">
            <v>17000</v>
          </cell>
          <cell r="E394" t="str">
            <v>G3PREMAL</v>
          </cell>
          <cell r="F394" t="str">
            <v/>
          </cell>
          <cell r="G394" t="str">
            <v>WALL MOUNT RACK</v>
          </cell>
          <cell r="H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row>
        <row r="395">
          <cell r="A395">
            <v>1700026</v>
          </cell>
          <cell r="B395" t="str">
            <v>1700026</v>
          </cell>
          <cell r="C395" t="str">
            <v>0</v>
          </cell>
          <cell r="D395" t="str">
            <v>17000</v>
          </cell>
          <cell r="E395" t="str">
            <v>G3PREMAL</v>
          </cell>
          <cell r="F395" t="str">
            <v/>
          </cell>
          <cell r="G395" t="str">
            <v>APC 5 KVA Online UPS</v>
          </cell>
          <cell r="H395">
            <v>0</v>
          </cell>
          <cell r="K395">
            <v>0</v>
          </cell>
          <cell r="L395">
            <v>0</v>
          </cell>
          <cell r="M395">
            <v>0</v>
          </cell>
          <cell r="N395">
            <v>0</v>
          </cell>
          <cell r="O395">
            <v>0</v>
          </cell>
          <cell r="P395">
            <v>0</v>
          </cell>
          <cell r="Q395">
            <v>0</v>
          </cell>
          <cell r="R395">
            <v>0</v>
          </cell>
          <cell r="S395">
            <v>0</v>
          </cell>
          <cell r="T395">
            <v>0</v>
          </cell>
          <cell r="U395">
            <v>0</v>
          </cell>
          <cell r="V395">
            <v>-8347.91</v>
          </cell>
          <cell r="W395">
            <v>0</v>
          </cell>
          <cell r="X395">
            <v>0</v>
          </cell>
          <cell r="Y395">
            <v>0</v>
          </cell>
          <cell r="Z395">
            <v>0</v>
          </cell>
          <cell r="AA395">
            <v>0</v>
          </cell>
          <cell r="AB395">
            <v>84250</v>
          </cell>
          <cell r="AC395">
            <v>0</v>
          </cell>
          <cell r="AD395">
            <v>0</v>
          </cell>
          <cell r="AE395">
            <v>0</v>
          </cell>
          <cell r="AF395">
            <v>0</v>
          </cell>
        </row>
        <row r="396">
          <cell r="A396">
            <v>1700026</v>
          </cell>
          <cell r="H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84250</v>
          </cell>
          <cell r="AC396">
            <v>0</v>
          </cell>
          <cell r="AD396">
            <v>0</v>
          </cell>
          <cell r="AE396">
            <v>0</v>
          </cell>
          <cell r="AF396">
            <v>0</v>
          </cell>
        </row>
        <row r="397">
          <cell r="A397">
            <v>1700026</v>
          </cell>
          <cell r="H397">
            <v>84250</v>
          </cell>
          <cell r="K397">
            <v>0</v>
          </cell>
          <cell r="L397">
            <v>0</v>
          </cell>
          <cell r="M397">
            <v>-8347.91</v>
          </cell>
          <cell r="N397">
            <v>0</v>
          </cell>
          <cell r="O397">
            <v>0</v>
          </cell>
          <cell r="P397">
            <v>0</v>
          </cell>
          <cell r="Q397">
            <v>0</v>
          </cell>
          <cell r="R397">
            <v>0</v>
          </cell>
          <cell r="S397">
            <v>0</v>
          </cell>
          <cell r="T397">
            <v>0</v>
          </cell>
          <cell r="U397">
            <v>0</v>
          </cell>
          <cell r="V397">
            <v>-10557.98</v>
          </cell>
          <cell r="W397">
            <v>0</v>
          </cell>
          <cell r="X397">
            <v>0</v>
          </cell>
          <cell r="Y397">
            <v>0</v>
          </cell>
          <cell r="Z397">
            <v>0</v>
          </cell>
          <cell r="AA397">
            <v>0</v>
          </cell>
          <cell r="AB397">
            <v>0</v>
          </cell>
          <cell r="AC397">
            <v>0</v>
          </cell>
          <cell r="AD397">
            <v>0</v>
          </cell>
          <cell r="AE397">
            <v>0</v>
          </cell>
          <cell r="AF397">
            <v>0</v>
          </cell>
        </row>
        <row r="398">
          <cell r="A398">
            <v>1700026</v>
          </cell>
          <cell r="H398">
            <v>84250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row>
        <row r="399">
          <cell r="A399">
            <v>1700027</v>
          </cell>
          <cell r="B399" t="str">
            <v>1700027</v>
          </cell>
          <cell r="C399" t="str">
            <v>0</v>
          </cell>
          <cell r="D399" t="str">
            <v>17000</v>
          </cell>
          <cell r="E399" t="str">
            <v>G3PREMAL</v>
          </cell>
          <cell r="F399" t="str">
            <v>G3PREMAL</v>
          </cell>
          <cell r="G399" t="str">
            <v>Radio Mast (60 ft tower Baroda)</v>
          </cell>
          <cell r="H399">
            <v>0</v>
          </cell>
          <cell r="K399">
            <v>0</v>
          </cell>
          <cell r="L399">
            <v>0</v>
          </cell>
          <cell r="M399">
            <v>0</v>
          </cell>
          <cell r="N399">
            <v>0</v>
          </cell>
          <cell r="O399">
            <v>0</v>
          </cell>
          <cell r="P399">
            <v>0</v>
          </cell>
          <cell r="Q399">
            <v>0</v>
          </cell>
          <cell r="R399">
            <v>0</v>
          </cell>
          <cell r="S399">
            <v>0</v>
          </cell>
          <cell r="T399">
            <v>0</v>
          </cell>
          <cell r="U399">
            <v>0</v>
          </cell>
          <cell r="V399">
            <v>-2359.75</v>
          </cell>
          <cell r="W399">
            <v>0</v>
          </cell>
          <cell r="X399">
            <v>0</v>
          </cell>
          <cell r="Y399">
            <v>0</v>
          </cell>
          <cell r="Z399">
            <v>0</v>
          </cell>
          <cell r="AA399">
            <v>0</v>
          </cell>
          <cell r="AB399">
            <v>48000</v>
          </cell>
          <cell r="AC399">
            <v>0</v>
          </cell>
          <cell r="AD399">
            <v>0</v>
          </cell>
          <cell r="AE399">
            <v>0</v>
          </cell>
          <cell r="AF399">
            <v>0</v>
          </cell>
        </row>
        <row r="400">
          <cell r="A400">
            <v>1700027</v>
          </cell>
          <cell r="H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48000</v>
          </cell>
          <cell r="AC400">
            <v>0</v>
          </cell>
          <cell r="AD400">
            <v>0</v>
          </cell>
          <cell r="AE400">
            <v>0</v>
          </cell>
          <cell r="AF400">
            <v>0</v>
          </cell>
        </row>
        <row r="401">
          <cell r="A401">
            <v>1700027</v>
          </cell>
          <cell r="H401">
            <v>48000</v>
          </cell>
          <cell r="K401">
            <v>0</v>
          </cell>
          <cell r="L401">
            <v>0</v>
          </cell>
          <cell r="M401">
            <v>-2359.75</v>
          </cell>
          <cell r="N401">
            <v>0</v>
          </cell>
          <cell r="O401">
            <v>0</v>
          </cell>
          <cell r="P401">
            <v>0</v>
          </cell>
          <cell r="Q401">
            <v>0</v>
          </cell>
          <cell r="R401">
            <v>0</v>
          </cell>
          <cell r="S401">
            <v>0</v>
          </cell>
          <cell r="T401">
            <v>0</v>
          </cell>
          <cell r="U401">
            <v>0</v>
          </cell>
          <cell r="V401">
            <v>-6348.56</v>
          </cell>
          <cell r="W401">
            <v>0</v>
          </cell>
          <cell r="X401">
            <v>0</v>
          </cell>
          <cell r="Y401">
            <v>0</v>
          </cell>
          <cell r="Z401">
            <v>0</v>
          </cell>
          <cell r="AA401">
            <v>0</v>
          </cell>
          <cell r="AB401">
            <v>0</v>
          </cell>
          <cell r="AC401">
            <v>0</v>
          </cell>
          <cell r="AD401">
            <v>0</v>
          </cell>
          <cell r="AE401">
            <v>0</v>
          </cell>
          <cell r="AF401">
            <v>0</v>
          </cell>
        </row>
        <row r="402">
          <cell r="A402">
            <v>1700027</v>
          </cell>
          <cell r="H402">
            <v>48000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row>
        <row r="403">
          <cell r="A403">
            <v>1700028</v>
          </cell>
          <cell r="B403" t="str">
            <v>1700028</v>
          </cell>
          <cell r="C403" t="str">
            <v>0</v>
          </cell>
          <cell r="D403" t="str">
            <v>17000</v>
          </cell>
          <cell r="E403" t="str">
            <v>G3PREMAL</v>
          </cell>
          <cell r="F403" t="str">
            <v/>
          </cell>
          <cell r="G403" t="str">
            <v>Radio Mast (30 ft Ankleshwar)</v>
          </cell>
          <cell r="H403">
            <v>0</v>
          </cell>
          <cell r="K403">
            <v>0</v>
          </cell>
          <cell r="L403">
            <v>0</v>
          </cell>
          <cell r="M403">
            <v>0</v>
          </cell>
          <cell r="N403">
            <v>0</v>
          </cell>
          <cell r="O403">
            <v>0</v>
          </cell>
          <cell r="P403">
            <v>0</v>
          </cell>
          <cell r="Q403">
            <v>0</v>
          </cell>
          <cell r="R403">
            <v>0</v>
          </cell>
          <cell r="S403">
            <v>0</v>
          </cell>
          <cell r="T403">
            <v>0</v>
          </cell>
          <cell r="U403">
            <v>0</v>
          </cell>
          <cell r="V403">
            <v>-617.38</v>
          </cell>
          <cell r="W403">
            <v>0</v>
          </cell>
          <cell r="X403">
            <v>0</v>
          </cell>
          <cell r="Y403">
            <v>0</v>
          </cell>
          <cell r="Z403">
            <v>0</v>
          </cell>
          <cell r="AA403">
            <v>0</v>
          </cell>
          <cell r="AB403">
            <v>18000</v>
          </cell>
          <cell r="AC403">
            <v>0</v>
          </cell>
          <cell r="AD403">
            <v>0</v>
          </cell>
          <cell r="AE403">
            <v>0</v>
          </cell>
          <cell r="AF403">
            <v>0</v>
          </cell>
        </row>
        <row r="404">
          <cell r="A404">
            <v>1700028</v>
          </cell>
          <cell r="H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18000</v>
          </cell>
          <cell r="AC404">
            <v>0</v>
          </cell>
          <cell r="AD404">
            <v>0</v>
          </cell>
          <cell r="AE404">
            <v>0</v>
          </cell>
          <cell r="AF404">
            <v>0</v>
          </cell>
        </row>
        <row r="405">
          <cell r="A405">
            <v>1700028</v>
          </cell>
          <cell r="H405">
            <v>18000</v>
          </cell>
          <cell r="K405">
            <v>0</v>
          </cell>
          <cell r="L405">
            <v>0</v>
          </cell>
          <cell r="M405">
            <v>-617.38</v>
          </cell>
          <cell r="N405">
            <v>0</v>
          </cell>
          <cell r="O405">
            <v>0</v>
          </cell>
          <cell r="P405">
            <v>0</v>
          </cell>
          <cell r="Q405">
            <v>0</v>
          </cell>
          <cell r="R405">
            <v>0</v>
          </cell>
          <cell r="S405">
            <v>0</v>
          </cell>
          <cell r="T405">
            <v>0</v>
          </cell>
          <cell r="U405">
            <v>0</v>
          </cell>
          <cell r="V405">
            <v>-2417.92</v>
          </cell>
          <cell r="W405">
            <v>0</v>
          </cell>
          <cell r="X405">
            <v>0</v>
          </cell>
          <cell r="Y405">
            <v>0</v>
          </cell>
          <cell r="Z405">
            <v>0</v>
          </cell>
          <cell r="AA405">
            <v>0</v>
          </cell>
          <cell r="AB405">
            <v>0</v>
          </cell>
          <cell r="AC405">
            <v>0</v>
          </cell>
          <cell r="AD405">
            <v>0</v>
          </cell>
          <cell r="AE405">
            <v>0</v>
          </cell>
          <cell r="AF405">
            <v>0</v>
          </cell>
        </row>
        <row r="406">
          <cell r="A406">
            <v>1700028</v>
          </cell>
          <cell r="H406">
            <v>18000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row>
        <row r="407">
          <cell r="A407">
            <v>1700029</v>
          </cell>
          <cell r="B407" t="str">
            <v>1700029</v>
          </cell>
          <cell r="C407" t="str">
            <v>0</v>
          </cell>
          <cell r="D407" t="str">
            <v>17000</v>
          </cell>
          <cell r="E407" t="str">
            <v>G3PREMAL</v>
          </cell>
          <cell r="F407" t="str">
            <v/>
          </cell>
          <cell r="G407" t="str">
            <v>APC on-line UPS - Surt 3000 UXI</v>
          </cell>
          <cell r="H407">
            <v>0</v>
          </cell>
          <cell r="K407">
            <v>0</v>
          </cell>
          <cell r="L407">
            <v>0</v>
          </cell>
          <cell r="M407">
            <v>0</v>
          </cell>
          <cell r="N407">
            <v>0</v>
          </cell>
          <cell r="O407">
            <v>0</v>
          </cell>
          <cell r="P407">
            <v>0</v>
          </cell>
          <cell r="Q407">
            <v>0</v>
          </cell>
          <cell r="R407">
            <v>0</v>
          </cell>
          <cell r="S407">
            <v>0</v>
          </cell>
          <cell r="T407">
            <v>0</v>
          </cell>
          <cell r="U407">
            <v>0</v>
          </cell>
          <cell r="V407">
            <v>-2816.64</v>
          </cell>
          <cell r="W407">
            <v>0</v>
          </cell>
          <cell r="X407">
            <v>0</v>
          </cell>
          <cell r="Y407">
            <v>0</v>
          </cell>
          <cell r="Z407">
            <v>0</v>
          </cell>
          <cell r="AA407">
            <v>0</v>
          </cell>
          <cell r="AB407">
            <v>58196</v>
          </cell>
          <cell r="AC407">
            <v>0</v>
          </cell>
          <cell r="AD407">
            <v>0</v>
          </cell>
          <cell r="AE407">
            <v>0</v>
          </cell>
          <cell r="AF407">
            <v>0</v>
          </cell>
        </row>
        <row r="408">
          <cell r="A408">
            <v>1700029</v>
          </cell>
          <cell r="H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58196</v>
          </cell>
          <cell r="AC408">
            <v>0</v>
          </cell>
          <cell r="AD408">
            <v>0</v>
          </cell>
          <cell r="AE408">
            <v>0</v>
          </cell>
          <cell r="AF408">
            <v>0</v>
          </cell>
        </row>
        <row r="409">
          <cell r="A409">
            <v>1700029</v>
          </cell>
          <cell r="H409">
            <v>58196</v>
          </cell>
          <cell r="K409">
            <v>0</v>
          </cell>
          <cell r="L409">
            <v>0</v>
          </cell>
          <cell r="M409">
            <v>-2816.64</v>
          </cell>
          <cell r="N409">
            <v>0</v>
          </cell>
          <cell r="O409">
            <v>0</v>
          </cell>
          <cell r="P409">
            <v>0</v>
          </cell>
          <cell r="Q409">
            <v>0</v>
          </cell>
          <cell r="R409">
            <v>0</v>
          </cell>
          <cell r="S409">
            <v>0</v>
          </cell>
          <cell r="T409">
            <v>0</v>
          </cell>
          <cell r="U409">
            <v>0</v>
          </cell>
          <cell r="V409">
            <v>-7703.27</v>
          </cell>
          <cell r="W409">
            <v>0</v>
          </cell>
          <cell r="X409">
            <v>0</v>
          </cell>
          <cell r="Y409">
            <v>0</v>
          </cell>
          <cell r="Z409">
            <v>0</v>
          </cell>
          <cell r="AA409">
            <v>0</v>
          </cell>
          <cell r="AB409">
            <v>0</v>
          </cell>
          <cell r="AC409">
            <v>0</v>
          </cell>
          <cell r="AD409">
            <v>0</v>
          </cell>
          <cell r="AE409">
            <v>0</v>
          </cell>
          <cell r="AF409">
            <v>0</v>
          </cell>
        </row>
        <row r="410">
          <cell r="A410">
            <v>1700029</v>
          </cell>
          <cell r="H410">
            <v>58196</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row>
        <row r="411">
          <cell r="A411">
            <v>1700030</v>
          </cell>
          <cell r="B411" t="str">
            <v>1700030</v>
          </cell>
          <cell r="C411" t="str">
            <v>0</v>
          </cell>
          <cell r="D411" t="str">
            <v>17000</v>
          </cell>
          <cell r="E411" t="str">
            <v>G3ACCOUNTS</v>
          </cell>
          <cell r="F411" t="str">
            <v/>
          </cell>
          <cell r="G411" t="str">
            <v>Global &amp; Yuassa Battery 12V-26AH</v>
          </cell>
          <cell r="H411">
            <v>0</v>
          </cell>
          <cell r="K411">
            <v>0</v>
          </cell>
          <cell r="L411">
            <v>0</v>
          </cell>
          <cell r="M411">
            <v>0</v>
          </cell>
          <cell r="N411">
            <v>0</v>
          </cell>
          <cell r="O411">
            <v>0</v>
          </cell>
          <cell r="P411">
            <v>0</v>
          </cell>
          <cell r="Q411">
            <v>0</v>
          </cell>
          <cell r="R411">
            <v>0</v>
          </cell>
          <cell r="S411">
            <v>0</v>
          </cell>
          <cell r="T411">
            <v>0</v>
          </cell>
          <cell r="U411">
            <v>0</v>
          </cell>
          <cell r="V411">
            <v>-2665.73</v>
          </cell>
          <cell r="W411">
            <v>0</v>
          </cell>
          <cell r="X411">
            <v>0</v>
          </cell>
          <cell r="Y411">
            <v>0</v>
          </cell>
          <cell r="Z411">
            <v>0</v>
          </cell>
          <cell r="AA411">
            <v>0</v>
          </cell>
          <cell r="AB411">
            <v>55078</v>
          </cell>
          <cell r="AC411">
            <v>0</v>
          </cell>
          <cell r="AD411">
            <v>0</v>
          </cell>
          <cell r="AE411">
            <v>0</v>
          </cell>
          <cell r="AF411">
            <v>0</v>
          </cell>
        </row>
        <row r="412">
          <cell r="A412">
            <v>1700030</v>
          </cell>
          <cell r="H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55078</v>
          </cell>
          <cell r="AC412">
            <v>0</v>
          </cell>
          <cell r="AD412">
            <v>0</v>
          </cell>
          <cell r="AE412">
            <v>0</v>
          </cell>
          <cell r="AF412">
            <v>0</v>
          </cell>
        </row>
        <row r="413">
          <cell r="A413">
            <v>1700030</v>
          </cell>
          <cell r="H413">
            <v>55078</v>
          </cell>
          <cell r="K413">
            <v>0</v>
          </cell>
          <cell r="L413">
            <v>0</v>
          </cell>
          <cell r="M413">
            <v>-2665.73</v>
          </cell>
          <cell r="N413">
            <v>0</v>
          </cell>
          <cell r="O413">
            <v>0</v>
          </cell>
          <cell r="P413">
            <v>0</v>
          </cell>
          <cell r="Q413">
            <v>0</v>
          </cell>
          <cell r="R413">
            <v>0</v>
          </cell>
          <cell r="S413">
            <v>0</v>
          </cell>
          <cell r="T413">
            <v>0</v>
          </cell>
          <cell r="U413">
            <v>0</v>
          </cell>
          <cell r="V413">
            <v>-7290.55</v>
          </cell>
          <cell r="W413">
            <v>0</v>
          </cell>
          <cell r="X413">
            <v>0</v>
          </cell>
          <cell r="Y413">
            <v>0</v>
          </cell>
          <cell r="Z413">
            <v>0</v>
          </cell>
          <cell r="AA413">
            <v>0</v>
          </cell>
          <cell r="AB413">
            <v>0</v>
          </cell>
          <cell r="AC413">
            <v>0</v>
          </cell>
          <cell r="AD413">
            <v>0</v>
          </cell>
          <cell r="AE413">
            <v>0</v>
          </cell>
          <cell r="AF413">
            <v>0</v>
          </cell>
        </row>
        <row r="414">
          <cell r="A414">
            <v>1700030</v>
          </cell>
          <cell r="H414">
            <v>55078</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row>
        <row r="415">
          <cell r="A415">
            <v>1700031</v>
          </cell>
          <cell r="B415" t="str">
            <v>1700031</v>
          </cell>
          <cell r="C415" t="str">
            <v>0</v>
          </cell>
          <cell r="D415" t="str">
            <v>17000</v>
          </cell>
          <cell r="E415" t="str">
            <v>G3PREMAL</v>
          </cell>
          <cell r="F415" t="str">
            <v>G3PREMAL</v>
          </cell>
          <cell r="G415" t="str">
            <v>8 PORT SWITCH</v>
          </cell>
          <cell r="H415">
            <v>0</v>
          </cell>
          <cell r="K415">
            <v>0</v>
          </cell>
          <cell r="L415">
            <v>0</v>
          </cell>
          <cell r="M415">
            <v>0</v>
          </cell>
          <cell r="N415">
            <v>0</v>
          </cell>
          <cell r="O415">
            <v>0</v>
          </cell>
          <cell r="P415">
            <v>0</v>
          </cell>
          <cell r="Q415">
            <v>0</v>
          </cell>
          <cell r="R415">
            <v>0</v>
          </cell>
          <cell r="S415">
            <v>0</v>
          </cell>
          <cell r="T415">
            <v>0</v>
          </cell>
          <cell r="U415">
            <v>0</v>
          </cell>
          <cell r="V415">
            <v>-465.2</v>
          </cell>
          <cell r="W415">
            <v>0</v>
          </cell>
          <cell r="X415">
            <v>0</v>
          </cell>
          <cell r="Y415">
            <v>0</v>
          </cell>
          <cell r="Z415">
            <v>0</v>
          </cell>
          <cell r="AA415">
            <v>0</v>
          </cell>
          <cell r="AB415">
            <v>15650</v>
          </cell>
          <cell r="AC415">
            <v>0</v>
          </cell>
          <cell r="AD415">
            <v>0</v>
          </cell>
          <cell r="AE415">
            <v>0</v>
          </cell>
          <cell r="AF415">
            <v>0</v>
          </cell>
        </row>
        <row r="416">
          <cell r="A416">
            <v>1700031</v>
          </cell>
          <cell r="H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15650</v>
          </cell>
          <cell r="AC416">
            <v>0</v>
          </cell>
          <cell r="AD416">
            <v>0</v>
          </cell>
          <cell r="AE416">
            <v>0</v>
          </cell>
          <cell r="AF416">
            <v>0</v>
          </cell>
        </row>
        <row r="417">
          <cell r="A417">
            <v>1700031</v>
          </cell>
          <cell r="H417">
            <v>15650</v>
          </cell>
          <cell r="K417">
            <v>0</v>
          </cell>
          <cell r="L417">
            <v>0</v>
          </cell>
          <cell r="M417">
            <v>-465.2</v>
          </cell>
          <cell r="N417">
            <v>0</v>
          </cell>
          <cell r="O417">
            <v>0</v>
          </cell>
          <cell r="P417">
            <v>0</v>
          </cell>
          <cell r="Q417">
            <v>0</v>
          </cell>
          <cell r="R417">
            <v>0</v>
          </cell>
          <cell r="S417">
            <v>0</v>
          </cell>
          <cell r="T417">
            <v>0</v>
          </cell>
          <cell r="U417">
            <v>0</v>
          </cell>
          <cell r="V417">
            <v>-2112.21</v>
          </cell>
          <cell r="W417">
            <v>0</v>
          </cell>
          <cell r="X417">
            <v>0</v>
          </cell>
          <cell r="Y417">
            <v>0</v>
          </cell>
          <cell r="Z417">
            <v>0</v>
          </cell>
          <cell r="AA417">
            <v>0</v>
          </cell>
          <cell r="AB417">
            <v>0</v>
          </cell>
          <cell r="AC417">
            <v>0</v>
          </cell>
          <cell r="AD417">
            <v>0</v>
          </cell>
          <cell r="AE417">
            <v>0</v>
          </cell>
          <cell r="AF417">
            <v>0</v>
          </cell>
        </row>
        <row r="418">
          <cell r="A418">
            <v>1700031</v>
          </cell>
          <cell r="H418">
            <v>15650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row>
        <row r="419">
          <cell r="A419">
            <v>1700032</v>
          </cell>
          <cell r="B419" t="str">
            <v>1700032</v>
          </cell>
          <cell r="C419" t="str">
            <v>0</v>
          </cell>
          <cell r="D419" t="str">
            <v>17000</v>
          </cell>
          <cell r="E419" t="str">
            <v>G3PREMAL</v>
          </cell>
          <cell r="F419" t="str">
            <v>G3PREMAL</v>
          </cell>
          <cell r="G419" t="str">
            <v>8 PORT SWITCH</v>
          </cell>
          <cell r="H419">
            <v>0</v>
          </cell>
          <cell r="K419">
            <v>0</v>
          </cell>
          <cell r="L419">
            <v>0</v>
          </cell>
          <cell r="M419">
            <v>0</v>
          </cell>
          <cell r="N419">
            <v>0</v>
          </cell>
          <cell r="O419">
            <v>0</v>
          </cell>
          <cell r="P419">
            <v>0</v>
          </cell>
          <cell r="Q419">
            <v>0</v>
          </cell>
          <cell r="R419">
            <v>0</v>
          </cell>
          <cell r="S419">
            <v>0</v>
          </cell>
          <cell r="T419">
            <v>0</v>
          </cell>
          <cell r="U419">
            <v>0</v>
          </cell>
          <cell r="V419">
            <v>-465.2</v>
          </cell>
          <cell r="W419">
            <v>0</v>
          </cell>
          <cell r="X419">
            <v>0</v>
          </cell>
          <cell r="Y419">
            <v>0</v>
          </cell>
          <cell r="Z419">
            <v>0</v>
          </cell>
          <cell r="AA419">
            <v>0</v>
          </cell>
          <cell r="AB419">
            <v>15650</v>
          </cell>
          <cell r="AC419">
            <v>0</v>
          </cell>
          <cell r="AD419">
            <v>0</v>
          </cell>
          <cell r="AE419">
            <v>0</v>
          </cell>
          <cell r="AF419">
            <v>0</v>
          </cell>
        </row>
        <row r="420">
          <cell r="A420">
            <v>1700032</v>
          </cell>
          <cell r="H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15650</v>
          </cell>
          <cell r="AC420">
            <v>0</v>
          </cell>
          <cell r="AD420">
            <v>0</v>
          </cell>
          <cell r="AE420">
            <v>0</v>
          </cell>
          <cell r="AF420">
            <v>0</v>
          </cell>
        </row>
        <row r="421">
          <cell r="A421">
            <v>1700032</v>
          </cell>
          <cell r="H421">
            <v>15650</v>
          </cell>
          <cell r="K421">
            <v>0</v>
          </cell>
          <cell r="L421">
            <v>0</v>
          </cell>
          <cell r="M421">
            <v>-465.2</v>
          </cell>
          <cell r="N421">
            <v>0</v>
          </cell>
          <cell r="O421">
            <v>0</v>
          </cell>
          <cell r="P421">
            <v>0</v>
          </cell>
          <cell r="Q421">
            <v>0</v>
          </cell>
          <cell r="R421">
            <v>0</v>
          </cell>
          <cell r="S421">
            <v>0</v>
          </cell>
          <cell r="T421">
            <v>0</v>
          </cell>
          <cell r="U421">
            <v>0</v>
          </cell>
          <cell r="V421">
            <v>-2112.21</v>
          </cell>
          <cell r="W421">
            <v>0</v>
          </cell>
          <cell r="X421">
            <v>0</v>
          </cell>
          <cell r="Y421">
            <v>0</v>
          </cell>
          <cell r="Z421">
            <v>0</v>
          </cell>
          <cell r="AA421">
            <v>0</v>
          </cell>
          <cell r="AB421">
            <v>0</v>
          </cell>
          <cell r="AC421">
            <v>0</v>
          </cell>
          <cell r="AD421">
            <v>0</v>
          </cell>
          <cell r="AE421">
            <v>0</v>
          </cell>
          <cell r="AF421">
            <v>0</v>
          </cell>
        </row>
        <row r="422">
          <cell r="A422">
            <v>1700032</v>
          </cell>
          <cell r="H422">
            <v>15650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row>
        <row r="423">
          <cell r="A423">
            <v>1700033</v>
          </cell>
          <cell r="B423" t="str">
            <v>1700033</v>
          </cell>
          <cell r="C423" t="str">
            <v>0</v>
          </cell>
          <cell r="D423" t="str">
            <v>17000</v>
          </cell>
          <cell r="E423" t="str">
            <v>G3ACCOUNTS</v>
          </cell>
          <cell r="F423" t="str">
            <v>G3GAURAV</v>
          </cell>
          <cell r="G423" t="str">
            <v>6 Core OFC</v>
          </cell>
          <cell r="H423">
            <v>0</v>
          </cell>
          <cell r="K423">
            <v>0</v>
          </cell>
          <cell r="L423">
            <v>0</v>
          </cell>
          <cell r="M423">
            <v>0</v>
          </cell>
          <cell r="N423">
            <v>0</v>
          </cell>
          <cell r="O423">
            <v>0</v>
          </cell>
          <cell r="P423">
            <v>0</v>
          </cell>
          <cell r="Q423">
            <v>0</v>
          </cell>
          <cell r="R423">
            <v>0</v>
          </cell>
          <cell r="S423">
            <v>0</v>
          </cell>
          <cell r="T423">
            <v>0</v>
          </cell>
          <cell r="U423">
            <v>0</v>
          </cell>
          <cell r="V423">
            <v>-36385.99</v>
          </cell>
          <cell r="W423">
            <v>0</v>
          </cell>
          <cell r="X423">
            <v>0</v>
          </cell>
          <cell r="Y423">
            <v>0</v>
          </cell>
          <cell r="Z423">
            <v>0</v>
          </cell>
          <cell r="AA423">
            <v>0</v>
          </cell>
          <cell r="AB423">
            <v>289325</v>
          </cell>
          <cell r="AC423">
            <v>0</v>
          </cell>
          <cell r="AD423">
            <v>0</v>
          </cell>
          <cell r="AE423">
            <v>0</v>
          </cell>
          <cell r="AF423">
            <v>0</v>
          </cell>
        </row>
        <row r="424">
          <cell r="A424">
            <v>1700033</v>
          </cell>
          <cell r="H424">
            <v>0</v>
          </cell>
          <cell r="K424">
            <v>0</v>
          </cell>
          <cell r="L424">
            <v>0</v>
          </cell>
          <cell r="M424">
            <v>0</v>
          </cell>
          <cell r="N424">
            <v>0</v>
          </cell>
          <cell r="O424">
            <v>0</v>
          </cell>
          <cell r="P424">
            <v>0</v>
          </cell>
          <cell r="Q424">
            <v>0</v>
          </cell>
          <cell r="R424">
            <v>0</v>
          </cell>
          <cell r="S424">
            <v>0</v>
          </cell>
          <cell r="T424">
            <v>0</v>
          </cell>
          <cell r="U424">
            <v>0</v>
          </cell>
          <cell r="V424">
            <v>-66303.649999999994</v>
          </cell>
          <cell r="W424">
            <v>0</v>
          </cell>
          <cell r="X424">
            <v>0</v>
          </cell>
          <cell r="Y424">
            <v>0</v>
          </cell>
          <cell r="Z424">
            <v>0</v>
          </cell>
          <cell r="AA424">
            <v>0</v>
          </cell>
          <cell r="AB424">
            <v>289325</v>
          </cell>
          <cell r="AC424">
            <v>0</v>
          </cell>
          <cell r="AD424">
            <v>0</v>
          </cell>
          <cell r="AE424">
            <v>0</v>
          </cell>
          <cell r="AF424">
            <v>0</v>
          </cell>
        </row>
        <row r="425">
          <cell r="A425">
            <v>1700033</v>
          </cell>
          <cell r="H425">
            <v>289325</v>
          </cell>
          <cell r="K425">
            <v>0</v>
          </cell>
          <cell r="L425">
            <v>0</v>
          </cell>
          <cell r="M425">
            <v>-36385.99</v>
          </cell>
          <cell r="N425">
            <v>0</v>
          </cell>
          <cell r="O425">
            <v>0</v>
          </cell>
          <cell r="P425">
            <v>0</v>
          </cell>
          <cell r="Q425">
            <v>0</v>
          </cell>
          <cell r="R425">
            <v>0</v>
          </cell>
          <cell r="S425">
            <v>0</v>
          </cell>
          <cell r="T425">
            <v>0</v>
          </cell>
          <cell r="U425">
            <v>0</v>
          </cell>
          <cell r="V425">
            <v>-35694.019999999997</v>
          </cell>
          <cell r="W425">
            <v>0</v>
          </cell>
          <cell r="X425">
            <v>0</v>
          </cell>
          <cell r="Y425">
            <v>0</v>
          </cell>
          <cell r="Z425">
            <v>0</v>
          </cell>
          <cell r="AA425">
            <v>0</v>
          </cell>
          <cell r="AB425">
            <v>5950</v>
          </cell>
          <cell r="AC425">
            <v>0</v>
          </cell>
          <cell r="AD425">
            <v>0</v>
          </cell>
          <cell r="AE425">
            <v>0</v>
          </cell>
          <cell r="AF425">
            <v>0</v>
          </cell>
        </row>
        <row r="426">
          <cell r="A426">
            <v>1700033</v>
          </cell>
          <cell r="H426">
            <v>289325</v>
          </cell>
          <cell r="K426">
            <v>0</v>
          </cell>
          <cell r="L426">
            <v>0</v>
          </cell>
          <cell r="M426">
            <v>-66303.649999999994</v>
          </cell>
          <cell r="N426">
            <v>0</v>
          </cell>
          <cell r="O426">
            <v>0</v>
          </cell>
          <cell r="P426">
            <v>0</v>
          </cell>
          <cell r="Q426">
            <v>0</v>
          </cell>
          <cell r="R426">
            <v>0</v>
          </cell>
          <cell r="S426">
            <v>0</v>
          </cell>
          <cell r="T426">
            <v>0</v>
          </cell>
          <cell r="U426">
            <v>0</v>
          </cell>
          <cell r="V426">
            <v>-57242.84</v>
          </cell>
          <cell r="W426">
            <v>0</v>
          </cell>
          <cell r="X426">
            <v>0</v>
          </cell>
          <cell r="Y426">
            <v>0</v>
          </cell>
          <cell r="Z426">
            <v>0</v>
          </cell>
          <cell r="AA426">
            <v>0</v>
          </cell>
          <cell r="AB426">
            <v>5950</v>
          </cell>
          <cell r="AC426">
            <v>0</v>
          </cell>
          <cell r="AD426">
            <v>0</v>
          </cell>
          <cell r="AE426">
            <v>0</v>
          </cell>
          <cell r="AF426">
            <v>0</v>
          </cell>
        </row>
        <row r="427">
          <cell r="A427">
            <v>1700034</v>
          </cell>
          <cell r="B427" t="str">
            <v>1700034</v>
          </cell>
          <cell r="C427" t="str">
            <v>0</v>
          </cell>
          <cell r="D427" t="str">
            <v>17000</v>
          </cell>
          <cell r="E427" t="str">
            <v>G3PREMAL</v>
          </cell>
          <cell r="F427" t="str">
            <v/>
          </cell>
          <cell r="G427" t="str">
            <v>CISCO WS-3550-24SMI</v>
          </cell>
          <cell r="H427">
            <v>0</v>
          </cell>
          <cell r="K427">
            <v>0</v>
          </cell>
          <cell r="L427">
            <v>0</v>
          </cell>
          <cell r="M427">
            <v>0</v>
          </cell>
          <cell r="N427">
            <v>0</v>
          </cell>
          <cell r="O427">
            <v>0</v>
          </cell>
          <cell r="P427">
            <v>0</v>
          </cell>
          <cell r="Q427">
            <v>0</v>
          </cell>
          <cell r="R427">
            <v>0</v>
          </cell>
          <cell r="S427">
            <v>0</v>
          </cell>
          <cell r="T427">
            <v>0</v>
          </cell>
          <cell r="U427">
            <v>0</v>
          </cell>
          <cell r="V427">
            <v>-7571.68</v>
          </cell>
          <cell r="W427">
            <v>0</v>
          </cell>
          <cell r="X427">
            <v>0</v>
          </cell>
          <cell r="Y427">
            <v>0</v>
          </cell>
          <cell r="Z427">
            <v>0</v>
          </cell>
          <cell r="AA427">
            <v>0</v>
          </cell>
          <cell r="AB427">
            <v>103480</v>
          </cell>
          <cell r="AC427">
            <v>0</v>
          </cell>
          <cell r="AD427">
            <v>0</v>
          </cell>
          <cell r="AE427">
            <v>0</v>
          </cell>
          <cell r="AF427">
            <v>0</v>
          </cell>
        </row>
        <row r="428">
          <cell r="A428">
            <v>1700034</v>
          </cell>
          <cell r="H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103480</v>
          </cell>
          <cell r="AC428">
            <v>0</v>
          </cell>
          <cell r="AD428">
            <v>0</v>
          </cell>
          <cell r="AE428">
            <v>0</v>
          </cell>
          <cell r="AF428">
            <v>0</v>
          </cell>
        </row>
        <row r="429">
          <cell r="A429">
            <v>1700034</v>
          </cell>
          <cell r="H429">
            <v>103480</v>
          </cell>
          <cell r="K429">
            <v>0</v>
          </cell>
          <cell r="L429">
            <v>0</v>
          </cell>
          <cell r="M429">
            <v>-7571.68</v>
          </cell>
          <cell r="N429">
            <v>0</v>
          </cell>
          <cell r="O429">
            <v>0</v>
          </cell>
          <cell r="P429">
            <v>0</v>
          </cell>
          <cell r="Q429">
            <v>0</v>
          </cell>
          <cell r="R429">
            <v>0</v>
          </cell>
          <cell r="S429">
            <v>0</v>
          </cell>
          <cell r="T429">
            <v>0</v>
          </cell>
          <cell r="U429">
            <v>0</v>
          </cell>
          <cell r="V429">
            <v>-13340.85</v>
          </cell>
          <cell r="W429">
            <v>0</v>
          </cell>
          <cell r="X429">
            <v>0</v>
          </cell>
          <cell r="Y429">
            <v>0</v>
          </cell>
          <cell r="Z429">
            <v>0</v>
          </cell>
          <cell r="AA429">
            <v>0</v>
          </cell>
          <cell r="AB429">
            <v>0</v>
          </cell>
          <cell r="AC429">
            <v>0</v>
          </cell>
          <cell r="AD429">
            <v>0</v>
          </cell>
          <cell r="AE429">
            <v>0</v>
          </cell>
          <cell r="AF429">
            <v>0</v>
          </cell>
        </row>
        <row r="430">
          <cell r="A430">
            <v>1700034</v>
          </cell>
          <cell r="H430">
            <v>103480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row>
        <row r="431">
          <cell r="A431">
            <v>1700035</v>
          </cell>
          <cell r="B431" t="str">
            <v>1700035</v>
          </cell>
          <cell r="C431" t="str">
            <v>0</v>
          </cell>
          <cell r="D431" t="str">
            <v>17000</v>
          </cell>
          <cell r="E431" t="str">
            <v>G3PREMAL</v>
          </cell>
          <cell r="F431" t="str">
            <v/>
          </cell>
          <cell r="G431" t="str">
            <v>CISCO WS-3550-24SMI</v>
          </cell>
          <cell r="H431">
            <v>0</v>
          </cell>
          <cell r="K431">
            <v>0</v>
          </cell>
          <cell r="L431">
            <v>0</v>
          </cell>
          <cell r="M431">
            <v>0</v>
          </cell>
          <cell r="N431">
            <v>0</v>
          </cell>
          <cell r="O431">
            <v>0</v>
          </cell>
          <cell r="P431">
            <v>0</v>
          </cell>
          <cell r="Q431">
            <v>0</v>
          </cell>
          <cell r="R431">
            <v>0</v>
          </cell>
          <cell r="S431">
            <v>0</v>
          </cell>
          <cell r="T431">
            <v>0</v>
          </cell>
          <cell r="U431">
            <v>0</v>
          </cell>
          <cell r="V431">
            <v>-7874.53</v>
          </cell>
          <cell r="W431">
            <v>0</v>
          </cell>
          <cell r="X431">
            <v>0</v>
          </cell>
          <cell r="Y431">
            <v>0</v>
          </cell>
          <cell r="Z431">
            <v>0</v>
          </cell>
          <cell r="AA431">
            <v>0</v>
          </cell>
          <cell r="AB431">
            <v>107619</v>
          </cell>
          <cell r="AC431">
            <v>0</v>
          </cell>
          <cell r="AD431">
            <v>0</v>
          </cell>
          <cell r="AE431">
            <v>0</v>
          </cell>
          <cell r="AF431">
            <v>0</v>
          </cell>
        </row>
        <row r="432">
          <cell r="A432">
            <v>1700035</v>
          </cell>
          <cell r="H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107619</v>
          </cell>
          <cell r="AC432">
            <v>0</v>
          </cell>
          <cell r="AD432">
            <v>0</v>
          </cell>
          <cell r="AE432">
            <v>0</v>
          </cell>
          <cell r="AF432">
            <v>0</v>
          </cell>
        </row>
        <row r="433">
          <cell r="A433">
            <v>1700035</v>
          </cell>
          <cell r="H433">
            <v>107619</v>
          </cell>
          <cell r="K433">
            <v>0</v>
          </cell>
          <cell r="L433">
            <v>0</v>
          </cell>
          <cell r="M433">
            <v>-7874.53</v>
          </cell>
          <cell r="N433">
            <v>0</v>
          </cell>
          <cell r="O433">
            <v>0</v>
          </cell>
          <cell r="P433">
            <v>0</v>
          </cell>
          <cell r="Q433">
            <v>0</v>
          </cell>
          <cell r="R433">
            <v>0</v>
          </cell>
          <cell r="S433">
            <v>0</v>
          </cell>
          <cell r="T433">
            <v>0</v>
          </cell>
          <cell r="U433">
            <v>0</v>
          </cell>
          <cell r="V433">
            <v>-13874.46</v>
          </cell>
          <cell r="W433">
            <v>0</v>
          </cell>
          <cell r="X433">
            <v>0</v>
          </cell>
          <cell r="Y433">
            <v>0</v>
          </cell>
          <cell r="Z433">
            <v>0</v>
          </cell>
          <cell r="AA433">
            <v>0</v>
          </cell>
          <cell r="AB433">
            <v>0</v>
          </cell>
          <cell r="AC433">
            <v>0</v>
          </cell>
          <cell r="AD433">
            <v>0</v>
          </cell>
          <cell r="AE433">
            <v>0</v>
          </cell>
          <cell r="AF433">
            <v>0</v>
          </cell>
        </row>
        <row r="434">
          <cell r="A434">
            <v>1700035</v>
          </cell>
          <cell r="H434">
            <v>107619</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row>
        <row r="435">
          <cell r="A435">
            <v>1700036</v>
          </cell>
          <cell r="B435" t="str">
            <v>1700036</v>
          </cell>
          <cell r="C435" t="str">
            <v>0</v>
          </cell>
          <cell r="D435" t="str">
            <v>17000</v>
          </cell>
          <cell r="E435" t="str">
            <v>G3PREMAL</v>
          </cell>
          <cell r="F435" t="str">
            <v/>
          </cell>
          <cell r="G435" t="str">
            <v>DUCT (500 MTR - KRIBHCO)</v>
          </cell>
          <cell r="H435">
            <v>0</v>
          </cell>
          <cell r="K435">
            <v>0</v>
          </cell>
          <cell r="L435">
            <v>0</v>
          </cell>
          <cell r="M435">
            <v>0</v>
          </cell>
          <cell r="N435">
            <v>0</v>
          </cell>
          <cell r="O435">
            <v>0</v>
          </cell>
          <cell r="P435">
            <v>0</v>
          </cell>
          <cell r="Q435">
            <v>0</v>
          </cell>
          <cell r="R435">
            <v>0</v>
          </cell>
          <cell r="S435">
            <v>0</v>
          </cell>
          <cell r="T435">
            <v>0</v>
          </cell>
          <cell r="U435">
            <v>0</v>
          </cell>
          <cell r="V435">
            <v>-926.06</v>
          </cell>
          <cell r="W435">
            <v>0</v>
          </cell>
          <cell r="X435">
            <v>0</v>
          </cell>
          <cell r="Y435">
            <v>0</v>
          </cell>
          <cell r="Z435">
            <v>0</v>
          </cell>
          <cell r="AA435">
            <v>0</v>
          </cell>
          <cell r="AB435">
            <v>13500</v>
          </cell>
          <cell r="AC435">
            <v>0</v>
          </cell>
          <cell r="AD435">
            <v>0</v>
          </cell>
          <cell r="AE435">
            <v>0</v>
          </cell>
          <cell r="AF435">
            <v>0</v>
          </cell>
        </row>
        <row r="436">
          <cell r="A436">
            <v>1700036</v>
          </cell>
          <cell r="H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13500</v>
          </cell>
          <cell r="AC436">
            <v>0</v>
          </cell>
          <cell r="AD436">
            <v>0</v>
          </cell>
          <cell r="AE436">
            <v>0</v>
          </cell>
          <cell r="AF436">
            <v>0</v>
          </cell>
        </row>
        <row r="437">
          <cell r="A437">
            <v>1700036</v>
          </cell>
          <cell r="H437">
            <v>13500</v>
          </cell>
          <cell r="K437">
            <v>0</v>
          </cell>
          <cell r="L437">
            <v>0</v>
          </cell>
          <cell r="M437">
            <v>-926.06</v>
          </cell>
          <cell r="N437">
            <v>0</v>
          </cell>
          <cell r="O437">
            <v>0</v>
          </cell>
          <cell r="P437">
            <v>0</v>
          </cell>
          <cell r="Q437">
            <v>0</v>
          </cell>
          <cell r="R437">
            <v>0</v>
          </cell>
          <cell r="S437">
            <v>0</v>
          </cell>
          <cell r="T437">
            <v>0</v>
          </cell>
          <cell r="U437">
            <v>0</v>
          </cell>
          <cell r="V437">
            <v>-1749.04</v>
          </cell>
          <cell r="W437">
            <v>0</v>
          </cell>
          <cell r="X437">
            <v>0</v>
          </cell>
          <cell r="Y437">
            <v>0</v>
          </cell>
          <cell r="Z437">
            <v>0</v>
          </cell>
          <cell r="AA437">
            <v>0</v>
          </cell>
          <cell r="AB437">
            <v>0</v>
          </cell>
          <cell r="AC437">
            <v>0</v>
          </cell>
          <cell r="AD437">
            <v>0</v>
          </cell>
          <cell r="AE437">
            <v>0</v>
          </cell>
          <cell r="AF437">
            <v>0</v>
          </cell>
        </row>
        <row r="438">
          <cell r="A438">
            <v>1700036</v>
          </cell>
          <cell r="H438">
            <v>13500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row>
        <row r="439">
          <cell r="A439">
            <v>1700037</v>
          </cell>
          <cell r="B439" t="str">
            <v>1700037</v>
          </cell>
          <cell r="C439" t="str">
            <v>0</v>
          </cell>
          <cell r="D439" t="str">
            <v>17000</v>
          </cell>
          <cell r="E439" t="str">
            <v>G3PREMAL</v>
          </cell>
          <cell r="F439" t="str">
            <v/>
          </cell>
          <cell r="G439" t="str">
            <v>Data Modem 02</v>
          </cell>
          <cell r="H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row>
        <row r="440">
          <cell r="A440">
            <v>1700038</v>
          </cell>
          <cell r="B440" t="str">
            <v>1700038</v>
          </cell>
          <cell r="C440" t="str">
            <v>0</v>
          </cell>
          <cell r="D440" t="str">
            <v>17000</v>
          </cell>
          <cell r="E440" t="str">
            <v>G3PREMAL</v>
          </cell>
          <cell r="F440" t="str">
            <v/>
          </cell>
          <cell r="G440" t="str">
            <v>SERVO REGULATOR - 5.0KVA</v>
          </cell>
          <cell r="H440">
            <v>0</v>
          </cell>
          <cell r="K440">
            <v>0</v>
          </cell>
          <cell r="L440">
            <v>0</v>
          </cell>
          <cell r="M440">
            <v>0</v>
          </cell>
          <cell r="N440">
            <v>0</v>
          </cell>
          <cell r="O440">
            <v>0</v>
          </cell>
          <cell r="P440">
            <v>0</v>
          </cell>
          <cell r="Q440">
            <v>0</v>
          </cell>
          <cell r="R440">
            <v>0</v>
          </cell>
          <cell r="S440">
            <v>0</v>
          </cell>
          <cell r="T440">
            <v>0</v>
          </cell>
          <cell r="U440">
            <v>0</v>
          </cell>
          <cell r="V440">
            <v>-738.38</v>
          </cell>
          <cell r="W440">
            <v>0</v>
          </cell>
          <cell r="X440">
            <v>0</v>
          </cell>
          <cell r="Y440">
            <v>0</v>
          </cell>
          <cell r="Z440">
            <v>0</v>
          </cell>
          <cell r="AA440">
            <v>0</v>
          </cell>
          <cell r="AB440">
            <v>10530</v>
          </cell>
          <cell r="AC440">
            <v>0</v>
          </cell>
          <cell r="AD440">
            <v>0</v>
          </cell>
          <cell r="AE440">
            <v>0</v>
          </cell>
          <cell r="AF440">
            <v>0</v>
          </cell>
        </row>
        <row r="441">
          <cell r="A441">
            <v>1700038</v>
          </cell>
          <cell r="H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10530</v>
          </cell>
          <cell r="AC441">
            <v>0</v>
          </cell>
          <cell r="AD441">
            <v>0</v>
          </cell>
          <cell r="AE441">
            <v>0</v>
          </cell>
          <cell r="AF441">
            <v>0</v>
          </cell>
        </row>
        <row r="442">
          <cell r="A442">
            <v>1700038</v>
          </cell>
          <cell r="H442">
            <v>10530</v>
          </cell>
          <cell r="K442">
            <v>0</v>
          </cell>
          <cell r="L442">
            <v>0</v>
          </cell>
          <cell r="M442">
            <v>-738.38</v>
          </cell>
          <cell r="N442">
            <v>0</v>
          </cell>
          <cell r="O442">
            <v>0</v>
          </cell>
          <cell r="P442">
            <v>0</v>
          </cell>
          <cell r="Q442">
            <v>0</v>
          </cell>
          <cell r="R442">
            <v>0</v>
          </cell>
          <cell r="S442">
            <v>0</v>
          </cell>
          <cell r="T442">
            <v>0</v>
          </cell>
          <cell r="U442">
            <v>0</v>
          </cell>
          <cell r="V442">
            <v>-1362.01</v>
          </cell>
          <cell r="W442">
            <v>0</v>
          </cell>
          <cell r="X442">
            <v>0</v>
          </cell>
          <cell r="Y442">
            <v>0</v>
          </cell>
          <cell r="Z442">
            <v>0</v>
          </cell>
          <cell r="AA442">
            <v>0</v>
          </cell>
          <cell r="AB442">
            <v>0</v>
          </cell>
          <cell r="AC442">
            <v>0</v>
          </cell>
          <cell r="AD442">
            <v>0</v>
          </cell>
          <cell r="AE442">
            <v>0</v>
          </cell>
          <cell r="AF442">
            <v>0</v>
          </cell>
        </row>
        <row r="443">
          <cell r="A443">
            <v>1700038</v>
          </cell>
          <cell r="H443">
            <v>10530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row>
        <row r="444">
          <cell r="A444">
            <v>1700039</v>
          </cell>
          <cell r="B444" t="str">
            <v>1700039</v>
          </cell>
          <cell r="C444" t="str">
            <v>0</v>
          </cell>
          <cell r="D444" t="str">
            <v>17000</v>
          </cell>
          <cell r="E444" t="str">
            <v>G3PREMAL</v>
          </cell>
          <cell r="F444" t="str">
            <v>G3PREMAL</v>
          </cell>
          <cell r="G444" t="str">
            <v>-48 V DC CONVERTER</v>
          </cell>
          <cell r="H444">
            <v>0</v>
          </cell>
          <cell r="K444">
            <v>0</v>
          </cell>
          <cell r="L444">
            <v>0</v>
          </cell>
          <cell r="M444">
            <v>0</v>
          </cell>
          <cell r="N444">
            <v>0</v>
          </cell>
          <cell r="O444">
            <v>0</v>
          </cell>
          <cell r="P444">
            <v>0</v>
          </cell>
          <cell r="Q444">
            <v>0</v>
          </cell>
          <cell r="R444">
            <v>0</v>
          </cell>
          <cell r="S444">
            <v>0</v>
          </cell>
          <cell r="T444">
            <v>0</v>
          </cell>
          <cell r="U444">
            <v>0</v>
          </cell>
          <cell r="V444">
            <v>-179.88</v>
          </cell>
          <cell r="W444">
            <v>0</v>
          </cell>
          <cell r="X444">
            <v>0</v>
          </cell>
          <cell r="Y444">
            <v>0</v>
          </cell>
          <cell r="Z444">
            <v>0</v>
          </cell>
          <cell r="AA444">
            <v>0</v>
          </cell>
          <cell r="AB444">
            <v>8000</v>
          </cell>
          <cell r="AC444">
            <v>0</v>
          </cell>
          <cell r="AD444">
            <v>0</v>
          </cell>
          <cell r="AE444">
            <v>0</v>
          </cell>
          <cell r="AF444">
            <v>0</v>
          </cell>
        </row>
        <row r="445">
          <cell r="A445">
            <v>1700039</v>
          </cell>
          <cell r="H445">
            <v>8000</v>
          </cell>
          <cell r="K445">
            <v>0</v>
          </cell>
          <cell r="L445">
            <v>0</v>
          </cell>
          <cell r="M445">
            <v>-179.88</v>
          </cell>
          <cell r="N445">
            <v>0</v>
          </cell>
          <cell r="O445">
            <v>0</v>
          </cell>
          <cell r="P445">
            <v>0</v>
          </cell>
          <cell r="Q445">
            <v>0</v>
          </cell>
          <cell r="R445">
            <v>0</v>
          </cell>
          <cell r="S445">
            <v>0</v>
          </cell>
          <cell r="T445">
            <v>0</v>
          </cell>
          <cell r="U445">
            <v>0</v>
          </cell>
          <cell r="V445">
            <v>-1087.78</v>
          </cell>
          <cell r="W445">
            <v>0</v>
          </cell>
          <cell r="X445">
            <v>0</v>
          </cell>
          <cell r="Y445">
            <v>0</v>
          </cell>
          <cell r="Z445">
            <v>0</v>
          </cell>
          <cell r="AA445">
            <v>0</v>
          </cell>
          <cell r="AB445">
            <v>0</v>
          </cell>
          <cell r="AC445">
            <v>0</v>
          </cell>
          <cell r="AD445">
            <v>0</v>
          </cell>
          <cell r="AE445">
            <v>0</v>
          </cell>
          <cell r="AF445">
            <v>0</v>
          </cell>
        </row>
        <row r="446">
          <cell r="A446">
            <v>1700040</v>
          </cell>
          <cell r="B446" t="str">
            <v>1700040</v>
          </cell>
          <cell r="C446" t="str">
            <v>0</v>
          </cell>
          <cell r="D446" t="str">
            <v>17000</v>
          </cell>
          <cell r="E446" t="str">
            <v>G3PREMAL</v>
          </cell>
          <cell r="F446" t="str">
            <v>G3PREMAL</v>
          </cell>
          <cell r="G446" t="str">
            <v>RADIO(changodhar)</v>
          </cell>
          <cell r="H446">
            <v>0</v>
          </cell>
          <cell r="K446">
            <v>0</v>
          </cell>
          <cell r="L446">
            <v>0</v>
          </cell>
          <cell r="M446">
            <v>0</v>
          </cell>
          <cell r="N446">
            <v>0</v>
          </cell>
          <cell r="O446">
            <v>0</v>
          </cell>
          <cell r="P446">
            <v>0</v>
          </cell>
          <cell r="Q446">
            <v>0</v>
          </cell>
          <cell r="R446">
            <v>0</v>
          </cell>
          <cell r="S446">
            <v>0</v>
          </cell>
          <cell r="T446">
            <v>0</v>
          </cell>
          <cell r="U446">
            <v>0</v>
          </cell>
          <cell r="V446">
            <v>-14462.59</v>
          </cell>
          <cell r="W446">
            <v>0</v>
          </cell>
          <cell r="X446">
            <v>0</v>
          </cell>
          <cell r="Y446">
            <v>0</v>
          </cell>
          <cell r="Z446">
            <v>0</v>
          </cell>
          <cell r="AA446">
            <v>0</v>
          </cell>
          <cell r="AB446">
            <v>115000</v>
          </cell>
          <cell r="AC446">
            <v>0</v>
          </cell>
          <cell r="AD446">
            <v>0</v>
          </cell>
          <cell r="AE446">
            <v>0</v>
          </cell>
          <cell r="AF446">
            <v>0</v>
          </cell>
        </row>
        <row r="447">
          <cell r="A447">
            <v>1700040</v>
          </cell>
          <cell r="H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115000</v>
          </cell>
          <cell r="AC447">
            <v>0</v>
          </cell>
          <cell r="AD447">
            <v>0</v>
          </cell>
          <cell r="AE447">
            <v>0</v>
          </cell>
          <cell r="AF447">
            <v>0</v>
          </cell>
        </row>
        <row r="448">
          <cell r="A448">
            <v>1700041</v>
          </cell>
          <cell r="B448" t="str">
            <v>1700041</v>
          </cell>
          <cell r="C448" t="str">
            <v>0</v>
          </cell>
          <cell r="D448" t="str">
            <v>17000</v>
          </cell>
          <cell r="E448" t="str">
            <v>G3PREMAL</v>
          </cell>
          <cell r="F448" t="str">
            <v>G3PREMAL</v>
          </cell>
          <cell r="G448" t="str">
            <v>Mast (changodhar)</v>
          </cell>
          <cell r="H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row>
        <row r="449">
          <cell r="A449">
            <v>1700042</v>
          </cell>
          <cell r="B449" t="str">
            <v>1700042</v>
          </cell>
          <cell r="C449" t="str">
            <v>0</v>
          </cell>
          <cell r="D449" t="str">
            <v>17000</v>
          </cell>
          <cell r="E449" t="str">
            <v>G3PREMAL</v>
          </cell>
          <cell r="F449" t="str">
            <v/>
          </cell>
          <cell r="G449" t="str">
            <v>GLOBAL POSITIONING SYSTEM( GPS)</v>
          </cell>
          <cell r="H449">
            <v>0</v>
          </cell>
          <cell r="K449">
            <v>0</v>
          </cell>
          <cell r="L449">
            <v>0</v>
          </cell>
          <cell r="M449">
            <v>0</v>
          </cell>
          <cell r="N449">
            <v>0</v>
          </cell>
          <cell r="O449">
            <v>0</v>
          </cell>
          <cell r="P449">
            <v>0</v>
          </cell>
          <cell r="Q449">
            <v>0</v>
          </cell>
          <cell r="R449">
            <v>0</v>
          </cell>
          <cell r="S449">
            <v>0</v>
          </cell>
          <cell r="T449">
            <v>0</v>
          </cell>
          <cell r="U449">
            <v>0</v>
          </cell>
          <cell r="V449">
            <v>-2097.63</v>
          </cell>
          <cell r="W449">
            <v>0</v>
          </cell>
          <cell r="X449">
            <v>0</v>
          </cell>
          <cell r="Y449">
            <v>0</v>
          </cell>
          <cell r="Z449">
            <v>0</v>
          </cell>
          <cell r="AA449">
            <v>0</v>
          </cell>
          <cell r="AB449">
            <v>15080</v>
          </cell>
          <cell r="AC449">
            <v>0</v>
          </cell>
          <cell r="AD449">
            <v>0</v>
          </cell>
          <cell r="AE449">
            <v>0</v>
          </cell>
          <cell r="AF449">
            <v>0</v>
          </cell>
        </row>
        <row r="450">
          <cell r="A450">
            <v>1700042</v>
          </cell>
          <cell r="H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15080</v>
          </cell>
          <cell r="AC450">
            <v>0</v>
          </cell>
          <cell r="AD450">
            <v>0</v>
          </cell>
          <cell r="AE450">
            <v>0</v>
          </cell>
          <cell r="AF450">
            <v>0</v>
          </cell>
        </row>
        <row r="451">
          <cell r="A451">
            <v>1700043</v>
          </cell>
          <cell r="B451" t="str">
            <v>1700043</v>
          </cell>
          <cell r="C451" t="str">
            <v>0</v>
          </cell>
          <cell r="D451" t="str">
            <v>17000</v>
          </cell>
          <cell r="E451" t="str">
            <v>G3PREMAL</v>
          </cell>
          <cell r="F451" t="str">
            <v/>
          </cell>
          <cell r="G451" t="str">
            <v>RADIO ( RAJKOT GIPL&amp;BHARTI POP)</v>
          </cell>
          <cell r="H451">
            <v>0</v>
          </cell>
          <cell r="K451">
            <v>0</v>
          </cell>
          <cell r="L451">
            <v>0</v>
          </cell>
          <cell r="M451">
            <v>0</v>
          </cell>
          <cell r="N451">
            <v>0</v>
          </cell>
          <cell r="O451">
            <v>0</v>
          </cell>
          <cell r="P451">
            <v>0</v>
          </cell>
          <cell r="Q451">
            <v>0</v>
          </cell>
          <cell r="R451">
            <v>0</v>
          </cell>
          <cell r="S451">
            <v>0</v>
          </cell>
          <cell r="T451">
            <v>0</v>
          </cell>
          <cell r="U451">
            <v>0</v>
          </cell>
          <cell r="V451">
            <v>-4405.32</v>
          </cell>
          <cell r="W451">
            <v>0</v>
          </cell>
          <cell r="X451">
            <v>0</v>
          </cell>
          <cell r="Y451">
            <v>0</v>
          </cell>
          <cell r="Z451">
            <v>0</v>
          </cell>
          <cell r="AA451">
            <v>0</v>
          </cell>
          <cell r="AB451">
            <v>98800</v>
          </cell>
          <cell r="AC451">
            <v>0</v>
          </cell>
          <cell r="AD451">
            <v>0</v>
          </cell>
          <cell r="AE451">
            <v>0</v>
          </cell>
          <cell r="AF451">
            <v>0</v>
          </cell>
        </row>
        <row r="452">
          <cell r="A452">
            <v>1700043</v>
          </cell>
          <cell r="H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98800</v>
          </cell>
          <cell r="AC452">
            <v>0</v>
          </cell>
          <cell r="AD452">
            <v>0</v>
          </cell>
          <cell r="AE452">
            <v>0</v>
          </cell>
          <cell r="AF452">
            <v>0</v>
          </cell>
        </row>
        <row r="453">
          <cell r="A453">
            <v>1700043</v>
          </cell>
          <cell r="H453">
            <v>98800</v>
          </cell>
          <cell r="K453">
            <v>0</v>
          </cell>
          <cell r="L453">
            <v>0</v>
          </cell>
          <cell r="M453">
            <v>-4405.32</v>
          </cell>
          <cell r="N453">
            <v>0</v>
          </cell>
          <cell r="O453">
            <v>0</v>
          </cell>
          <cell r="P453">
            <v>0</v>
          </cell>
          <cell r="Q453">
            <v>0</v>
          </cell>
          <cell r="R453">
            <v>0</v>
          </cell>
          <cell r="S453">
            <v>0</v>
          </cell>
          <cell r="T453">
            <v>0</v>
          </cell>
          <cell r="U453">
            <v>0</v>
          </cell>
          <cell r="V453">
            <v>-13732.74</v>
          </cell>
          <cell r="W453">
            <v>0</v>
          </cell>
          <cell r="X453">
            <v>0</v>
          </cell>
          <cell r="Y453">
            <v>0</v>
          </cell>
          <cell r="Z453">
            <v>0</v>
          </cell>
          <cell r="AA453">
            <v>0</v>
          </cell>
          <cell r="AB453">
            <v>0</v>
          </cell>
          <cell r="AC453">
            <v>0</v>
          </cell>
          <cell r="AD453">
            <v>0</v>
          </cell>
          <cell r="AE453">
            <v>0</v>
          </cell>
          <cell r="AF453">
            <v>0</v>
          </cell>
        </row>
        <row r="454">
          <cell r="A454">
            <v>1700043</v>
          </cell>
          <cell r="H454">
            <v>98800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row>
        <row r="455">
          <cell r="A455">
            <v>1700044</v>
          </cell>
          <cell r="B455" t="str">
            <v>1700044</v>
          </cell>
          <cell r="C455" t="str">
            <v>0</v>
          </cell>
          <cell r="D455" t="str">
            <v>17000</v>
          </cell>
          <cell r="E455" t="str">
            <v>G3PREMAL</v>
          </cell>
          <cell r="F455" t="str">
            <v/>
          </cell>
          <cell r="G455" t="str">
            <v>Converter</v>
          </cell>
          <cell r="H455">
            <v>0</v>
          </cell>
          <cell r="K455">
            <v>0</v>
          </cell>
          <cell r="L455">
            <v>0</v>
          </cell>
          <cell r="M455">
            <v>0</v>
          </cell>
          <cell r="N455">
            <v>0</v>
          </cell>
          <cell r="O455">
            <v>0</v>
          </cell>
          <cell r="P455">
            <v>0</v>
          </cell>
          <cell r="Q455">
            <v>0</v>
          </cell>
          <cell r="R455">
            <v>0</v>
          </cell>
          <cell r="S455">
            <v>0</v>
          </cell>
          <cell r="T455">
            <v>0</v>
          </cell>
          <cell r="U455">
            <v>0</v>
          </cell>
          <cell r="V455">
            <v>-1765.98</v>
          </cell>
          <cell r="W455">
            <v>0</v>
          </cell>
          <cell r="X455">
            <v>0</v>
          </cell>
          <cell r="Y455">
            <v>0</v>
          </cell>
          <cell r="Z455">
            <v>0</v>
          </cell>
          <cell r="AA455">
            <v>0</v>
          </cell>
          <cell r="AB455">
            <v>12801</v>
          </cell>
          <cell r="AC455">
            <v>0</v>
          </cell>
          <cell r="AD455">
            <v>0</v>
          </cell>
          <cell r="AE455">
            <v>0</v>
          </cell>
          <cell r="AF455">
            <v>0</v>
          </cell>
        </row>
        <row r="456">
          <cell r="A456">
            <v>1700044</v>
          </cell>
          <cell r="H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12801</v>
          </cell>
          <cell r="AC456">
            <v>0</v>
          </cell>
          <cell r="AD456">
            <v>0</v>
          </cell>
          <cell r="AE456">
            <v>0</v>
          </cell>
          <cell r="AF456">
            <v>0</v>
          </cell>
        </row>
        <row r="457">
          <cell r="A457">
            <v>1700045</v>
          </cell>
          <cell r="B457" t="str">
            <v>1700045</v>
          </cell>
          <cell r="C457" t="str">
            <v>0</v>
          </cell>
          <cell r="D457" t="str">
            <v>17000</v>
          </cell>
          <cell r="E457" t="str">
            <v>G3PREMAL</v>
          </cell>
          <cell r="F457" t="str">
            <v/>
          </cell>
          <cell r="G457" t="str">
            <v>Converter</v>
          </cell>
          <cell r="H457">
            <v>0</v>
          </cell>
          <cell r="K457">
            <v>0</v>
          </cell>
          <cell r="L457">
            <v>0</v>
          </cell>
          <cell r="M457">
            <v>0</v>
          </cell>
          <cell r="N457">
            <v>0</v>
          </cell>
          <cell r="O457">
            <v>0</v>
          </cell>
          <cell r="P457">
            <v>0</v>
          </cell>
          <cell r="Q457">
            <v>0</v>
          </cell>
          <cell r="R457">
            <v>0</v>
          </cell>
          <cell r="S457">
            <v>0</v>
          </cell>
          <cell r="T457">
            <v>0</v>
          </cell>
          <cell r="U457">
            <v>0</v>
          </cell>
          <cell r="V457">
            <v>-1765.98</v>
          </cell>
          <cell r="W457">
            <v>0</v>
          </cell>
          <cell r="X457">
            <v>0</v>
          </cell>
          <cell r="Y457">
            <v>0</v>
          </cell>
          <cell r="Z457">
            <v>0</v>
          </cell>
          <cell r="AA457">
            <v>0</v>
          </cell>
          <cell r="AB457">
            <v>12801</v>
          </cell>
          <cell r="AC457">
            <v>0</v>
          </cell>
          <cell r="AD457">
            <v>0</v>
          </cell>
          <cell r="AE457">
            <v>0</v>
          </cell>
          <cell r="AF457">
            <v>0</v>
          </cell>
        </row>
        <row r="458">
          <cell r="A458">
            <v>1700045</v>
          </cell>
          <cell r="H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12801</v>
          </cell>
          <cell r="AC458">
            <v>0</v>
          </cell>
          <cell r="AD458">
            <v>0</v>
          </cell>
          <cell r="AE458">
            <v>0</v>
          </cell>
          <cell r="AF458">
            <v>0</v>
          </cell>
        </row>
        <row r="459">
          <cell r="A459">
            <v>1700046</v>
          </cell>
          <cell r="B459" t="str">
            <v>1700046</v>
          </cell>
          <cell r="C459" t="str">
            <v>0</v>
          </cell>
          <cell r="D459" t="str">
            <v>17000</v>
          </cell>
          <cell r="E459" t="str">
            <v>G3PREMAL</v>
          </cell>
          <cell r="F459" t="str">
            <v/>
          </cell>
          <cell r="G459" t="str">
            <v>OFC  Cable</v>
          </cell>
          <cell r="H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row>
        <row r="460">
          <cell r="A460">
            <v>1700047</v>
          </cell>
          <cell r="B460" t="str">
            <v>1700047</v>
          </cell>
          <cell r="C460" t="str">
            <v>0</v>
          </cell>
          <cell r="D460" t="str">
            <v>17000</v>
          </cell>
          <cell r="E460" t="str">
            <v>G3PREMAL</v>
          </cell>
          <cell r="F460" t="str">
            <v/>
          </cell>
          <cell r="G460" t="str">
            <v>Porable Power Generator</v>
          </cell>
          <cell r="H460">
            <v>0</v>
          </cell>
          <cell r="K460">
            <v>0</v>
          </cell>
          <cell r="L460">
            <v>0</v>
          </cell>
          <cell r="M460">
            <v>0</v>
          </cell>
          <cell r="N460">
            <v>0</v>
          </cell>
          <cell r="O460">
            <v>0</v>
          </cell>
          <cell r="P460">
            <v>0</v>
          </cell>
          <cell r="Q460">
            <v>0</v>
          </cell>
          <cell r="R460">
            <v>0</v>
          </cell>
          <cell r="S460">
            <v>0</v>
          </cell>
          <cell r="T460">
            <v>0</v>
          </cell>
          <cell r="U460">
            <v>0</v>
          </cell>
          <cell r="V460">
            <v>-4645.8100000000004</v>
          </cell>
          <cell r="W460">
            <v>0</v>
          </cell>
          <cell r="X460">
            <v>0</v>
          </cell>
          <cell r="Y460">
            <v>0</v>
          </cell>
          <cell r="Z460">
            <v>0</v>
          </cell>
          <cell r="AA460">
            <v>0</v>
          </cell>
          <cell r="AB460">
            <v>38578</v>
          </cell>
          <cell r="AC460">
            <v>0</v>
          </cell>
          <cell r="AD460">
            <v>0</v>
          </cell>
          <cell r="AE460">
            <v>0</v>
          </cell>
          <cell r="AF460">
            <v>0</v>
          </cell>
        </row>
        <row r="461">
          <cell r="A461">
            <v>1700047</v>
          </cell>
          <cell r="H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38578</v>
          </cell>
          <cell r="AC461">
            <v>0</v>
          </cell>
          <cell r="AD461">
            <v>0</v>
          </cell>
          <cell r="AE461">
            <v>0</v>
          </cell>
          <cell r="AF461">
            <v>0</v>
          </cell>
        </row>
        <row r="462">
          <cell r="A462">
            <v>1700048</v>
          </cell>
          <cell r="B462" t="str">
            <v>1700048</v>
          </cell>
          <cell r="C462" t="str">
            <v>0</v>
          </cell>
          <cell r="D462" t="str">
            <v>17000</v>
          </cell>
          <cell r="E462" t="str">
            <v>G3PREMAL</v>
          </cell>
          <cell r="F462" t="str">
            <v>G3PREMAL</v>
          </cell>
          <cell r="G462" t="str">
            <v>MOdem Radio Make ASMI -52</v>
          </cell>
          <cell r="H462">
            <v>0</v>
          </cell>
          <cell r="K462">
            <v>0</v>
          </cell>
          <cell r="L462">
            <v>0</v>
          </cell>
          <cell r="M462">
            <v>0</v>
          </cell>
          <cell r="N462">
            <v>0</v>
          </cell>
          <cell r="O462">
            <v>0</v>
          </cell>
          <cell r="P462">
            <v>0</v>
          </cell>
          <cell r="Q462">
            <v>0</v>
          </cell>
          <cell r="R462">
            <v>0</v>
          </cell>
          <cell r="S462">
            <v>0</v>
          </cell>
          <cell r="T462">
            <v>0</v>
          </cell>
          <cell r="U462">
            <v>0</v>
          </cell>
          <cell r="V462">
            <v>-7586.86</v>
          </cell>
          <cell r="W462">
            <v>0</v>
          </cell>
          <cell r="X462">
            <v>0</v>
          </cell>
          <cell r="Y462">
            <v>0</v>
          </cell>
          <cell r="Z462">
            <v>0</v>
          </cell>
          <cell r="AA462">
            <v>0</v>
          </cell>
          <cell r="AB462">
            <v>63000</v>
          </cell>
          <cell r="AC462">
            <v>0</v>
          </cell>
          <cell r="AD462">
            <v>0</v>
          </cell>
          <cell r="AE462">
            <v>0</v>
          </cell>
          <cell r="AF462">
            <v>0</v>
          </cell>
        </row>
        <row r="463">
          <cell r="A463">
            <v>1700048</v>
          </cell>
          <cell r="H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63000</v>
          </cell>
          <cell r="AC463">
            <v>0</v>
          </cell>
          <cell r="AD463">
            <v>0</v>
          </cell>
          <cell r="AE463">
            <v>0</v>
          </cell>
          <cell r="AF463">
            <v>0</v>
          </cell>
        </row>
        <row r="464">
          <cell r="A464">
            <v>1700049</v>
          </cell>
          <cell r="B464" t="str">
            <v>1700049</v>
          </cell>
          <cell r="C464" t="str">
            <v>0</v>
          </cell>
          <cell r="D464" t="str">
            <v>17000</v>
          </cell>
          <cell r="E464" t="str">
            <v>G3PREMAL</v>
          </cell>
          <cell r="F464" t="str">
            <v/>
          </cell>
          <cell r="G464" t="str">
            <v>RADIO(BARODA)</v>
          </cell>
          <cell r="H464">
            <v>0</v>
          </cell>
          <cell r="K464">
            <v>0</v>
          </cell>
          <cell r="L464">
            <v>0</v>
          </cell>
          <cell r="M464">
            <v>0</v>
          </cell>
          <cell r="N464">
            <v>0</v>
          </cell>
          <cell r="O464">
            <v>0</v>
          </cell>
          <cell r="P464">
            <v>0</v>
          </cell>
          <cell r="Q464">
            <v>0</v>
          </cell>
          <cell r="R464">
            <v>0</v>
          </cell>
          <cell r="S464">
            <v>0</v>
          </cell>
          <cell r="T464">
            <v>0</v>
          </cell>
          <cell r="U464">
            <v>0</v>
          </cell>
          <cell r="V464">
            <v>-20796.400000000001</v>
          </cell>
          <cell r="W464">
            <v>0</v>
          </cell>
          <cell r="X464">
            <v>0</v>
          </cell>
          <cell r="Y464">
            <v>0</v>
          </cell>
          <cell r="Z464">
            <v>0</v>
          </cell>
          <cell r="AA464">
            <v>0</v>
          </cell>
          <cell r="AB464">
            <v>170000</v>
          </cell>
          <cell r="AC464">
            <v>0</v>
          </cell>
          <cell r="AD464">
            <v>0</v>
          </cell>
          <cell r="AE464">
            <v>0</v>
          </cell>
          <cell r="AF464">
            <v>0</v>
          </cell>
        </row>
        <row r="465">
          <cell r="A465">
            <v>1700049</v>
          </cell>
          <cell r="H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170000</v>
          </cell>
          <cell r="AC465">
            <v>0</v>
          </cell>
          <cell r="AD465">
            <v>0</v>
          </cell>
          <cell r="AE465">
            <v>0</v>
          </cell>
          <cell r="AF465">
            <v>0</v>
          </cell>
        </row>
        <row r="466">
          <cell r="A466">
            <v>1700050</v>
          </cell>
          <cell r="B466" t="str">
            <v>1700050</v>
          </cell>
          <cell r="C466" t="str">
            <v>0</v>
          </cell>
          <cell r="D466" t="str">
            <v>17000</v>
          </cell>
          <cell r="E466" t="str">
            <v>G3PREMAL</v>
          </cell>
          <cell r="F466" t="str">
            <v/>
          </cell>
          <cell r="G466" t="str">
            <v>OPTIMUX</v>
          </cell>
          <cell r="H466">
            <v>0</v>
          </cell>
          <cell r="K466">
            <v>0</v>
          </cell>
          <cell r="L466">
            <v>0</v>
          </cell>
          <cell r="M466">
            <v>0</v>
          </cell>
          <cell r="N466">
            <v>0</v>
          </cell>
          <cell r="O466">
            <v>0</v>
          </cell>
          <cell r="P466">
            <v>0</v>
          </cell>
          <cell r="Q466">
            <v>0</v>
          </cell>
          <cell r="R466">
            <v>0</v>
          </cell>
          <cell r="S466">
            <v>0</v>
          </cell>
          <cell r="T466">
            <v>0</v>
          </cell>
          <cell r="U466">
            <v>0</v>
          </cell>
          <cell r="V466">
            <v>-9105.4</v>
          </cell>
          <cell r="W466">
            <v>0</v>
          </cell>
          <cell r="X466">
            <v>0</v>
          </cell>
          <cell r="Y466">
            <v>0</v>
          </cell>
          <cell r="Z466">
            <v>0</v>
          </cell>
          <cell r="AA466">
            <v>0</v>
          </cell>
          <cell r="AB466">
            <v>69053.98</v>
          </cell>
          <cell r="AC466">
            <v>0</v>
          </cell>
          <cell r="AD466">
            <v>0</v>
          </cell>
          <cell r="AE466">
            <v>0</v>
          </cell>
          <cell r="AF466">
            <v>0</v>
          </cell>
        </row>
        <row r="467">
          <cell r="A467">
            <v>1700050</v>
          </cell>
          <cell r="H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69053.98</v>
          </cell>
          <cell r="AC467">
            <v>0</v>
          </cell>
          <cell r="AD467">
            <v>0</v>
          </cell>
          <cell r="AE467">
            <v>0</v>
          </cell>
          <cell r="AF467">
            <v>0</v>
          </cell>
        </row>
        <row r="468">
          <cell r="A468">
            <v>1700051</v>
          </cell>
          <cell r="B468" t="str">
            <v>1700051</v>
          </cell>
          <cell r="C468" t="str">
            <v>0</v>
          </cell>
          <cell r="D468" t="str">
            <v>17000</v>
          </cell>
          <cell r="E468" t="str">
            <v>G3PREMAL</v>
          </cell>
          <cell r="F468" t="str">
            <v/>
          </cell>
          <cell r="G468" t="str">
            <v>RECK</v>
          </cell>
          <cell r="H468">
            <v>0</v>
          </cell>
          <cell r="K468">
            <v>0</v>
          </cell>
          <cell r="L468">
            <v>0</v>
          </cell>
          <cell r="M468">
            <v>0</v>
          </cell>
          <cell r="N468">
            <v>0</v>
          </cell>
          <cell r="O468">
            <v>0</v>
          </cell>
          <cell r="P468">
            <v>0</v>
          </cell>
          <cell r="Q468">
            <v>0</v>
          </cell>
          <cell r="R468">
            <v>0</v>
          </cell>
          <cell r="S468">
            <v>0</v>
          </cell>
          <cell r="T468">
            <v>0</v>
          </cell>
          <cell r="U468">
            <v>0</v>
          </cell>
          <cell r="V468">
            <v>-1569.51</v>
          </cell>
          <cell r="W468">
            <v>0</v>
          </cell>
          <cell r="X468">
            <v>0</v>
          </cell>
          <cell r="Y468">
            <v>0</v>
          </cell>
          <cell r="Z468">
            <v>0</v>
          </cell>
          <cell r="AA468">
            <v>0</v>
          </cell>
          <cell r="AB468">
            <v>13200</v>
          </cell>
          <cell r="AC468">
            <v>0</v>
          </cell>
          <cell r="AD468">
            <v>0</v>
          </cell>
          <cell r="AE468">
            <v>0</v>
          </cell>
          <cell r="AF468">
            <v>0</v>
          </cell>
        </row>
        <row r="469">
          <cell r="A469">
            <v>1700051</v>
          </cell>
          <cell r="H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13200</v>
          </cell>
          <cell r="AC469">
            <v>0</v>
          </cell>
          <cell r="AD469">
            <v>0</v>
          </cell>
          <cell r="AE469">
            <v>0</v>
          </cell>
          <cell r="AF469">
            <v>0</v>
          </cell>
        </row>
        <row r="470">
          <cell r="A470">
            <v>1700052</v>
          </cell>
          <cell r="B470" t="str">
            <v>1700052</v>
          </cell>
          <cell r="C470" t="str">
            <v>0</v>
          </cell>
          <cell r="D470" t="str">
            <v>17000</v>
          </cell>
          <cell r="E470" t="str">
            <v>G3PREMAL</v>
          </cell>
          <cell r="F470" t="str">
            <v/>
          </cell>
          <cell r="G470" t="str">
            <v>Converter-Ip6440</v>
          </cell>
          <cell r="H470">
            <v>0</v>
          </cell>
          <cell r="K470">
            <v>0</v>
          </cell>
          <cell r="L470">
            <v>0</v>
          </cell>
          <cell r="M470">
            <v>0</v>
          </cell>
          <cell r="N470">
            <v>0</v>
          </cell>
          <cell r="O470">
            <v>0</v>
          </cell>
          <cell r="P470">
            <v>0</v>
          </cell>
          <cell r="Q470">
            <v>0</v>
          </cell>
          <cell r="R470">
            <v>0</v>
          </cell>
          <cell r="S470">
            <v>0</v>
          </cell>
          <cell r="T470">
            <v>0</v>
          </cell>
          <cell r="U470">
            <v>0</v>
          </cell>
          <cell r="V470">
            <v>-18102.439999999999</v>
          </cell>
          <cell r="W470">
            <v>0</v>
          </cell>
          <cell r="X470">
            <v>0</v>
          </cell>
          <cell r="Y470">
            <v>0</v>
          </cell>
          <cell r="Z470">
            <v>0</v>
          </cell>
          <cell r="AA470">
            <v>0</v>
          </cell>
          <cell r="AB470">
            <v>254016</v>
          </cell>
          <cell r="AC470">
            <v>0</v>
          </cell>
          <cell r="AD470">
            <v>0</v>
          </cell>
          <cell r="AE470">
            <v>0</v>
          </cell>
          <cell r="AF470">
            <v>0</v>
          </cell>
        </row>
        <row r="471">
          <cell r="A471">
            <v>1700052</v>
          </cell>
          <cell r="H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254016</v>
          </cell>
          <cell r="AC471">
            <v>0</v>
          </cell>
          <cell r="AD471">
            <v>0</v>
          </cell>
          <cell r="AE471">
            <v>0</v>
          </cell>
          <cell r="AF471">
            <v>0</v>
          </cell>
        </row>
        <row r="472">
          <cell r="A472">
            <v>1700052</v>
          </cell>
          <cell r="H472">
            <v>254016</v>
          </cell>
          <cell r="K472">
            <v>0</v>
          </cell>
          <cell r="L472">
            <v>0</v>
          </cell>
          <cell r="M472">
            <v>-18102.439999999999</v>
          </cell>
          <cell r="N472">
            <v>0</v>
          </cell>
          <cell r="O472">
            <v>0</v>
          </cell>
          <cell r="P472">
            <v>0</v>
          </cell>
          <cell r="Q472">
            <v>0</v>
          </cell>
          <cell r="R472">
            <v>0</v>
          </cell>
          <cell r="S472">
            <v>0</v>
          </cell>
          <cell r="T472">
            <v>0</v>
          </cell>
          <cell r="U472">
            <v>0</v>
          </cell>
          <cell r="V472">
            <v>-32815.58</v>
          </cell>
          <cell r="W472">
            <v>0</v>
          </cell>
          <cell r="X472">
            <v>0</v>
          </cell>
          <cell r="Y472">
            <v>0</v>
          </cell>
          <cell r="Z472">
            <v>0</v>
          </cell>
          <cell r="AA472">
            <v>0</v>
          </cell>
          <cell r="AB472">
            <v>0</v>
          </cell>
          <cell r="AC472">
            <v>0</v>
          </cell>
          <cell r="AD472">
            <v>0</v>
          </cell>
          <cell r="AE472">
            <v>0</v>
          </cell>
          <cell r="AF472">
            <v>0</v>
          </cell>
        </row>
        <row r="473">
          <cell r="A473">
            <v>1700052</v>
          </cell>
          <cell r="H473">
            <v>254016</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row>
        <row r="474">
          <cell r="A474">
            <v>1700053</v>
          </cell>
          <cell r="B474" t="str">
            <v>1700053</v>
          </cell>
          <cell r="C474" t="str">
            <v>0</v>
          </cell>
          <cell r="D474" t="str">
            <v>17000</v>
          </cell>
          <cell r="E474" t="str">
            <v>G3PREMAL</v>
          </cell>
          <cell r="F474" t="str">
            <v/>
          </cell>
          <cell r="G474" t="str">
            <v>Data Modem 02</v>
          </cell>
          <cell r="H474">
            <v>0</v>
          </cell>
          <cell r="K474">
            <v>0</v>
          </cell>
          <cell r="L474">
            <v>0</v>
          </cell>
          <cell r="M474">
            <v>0</v>
          </cell>
          <cell r="N474">
            <v>0</v>
          </cell>
          <cell r="O474">
            <v>0</v>
          </cell>
          <cell r="P474">
            <v>0</v>
          </cell>
          <cell r="Q474">
            <v>0</v>
          </cell>
          <cell r="R474">
            <v>0</v>
          </cell>
          <cell r="S474">
            <v>0</v>
          </cell>
          <cell r="T474">
            <v>0</v>
          </cell>
          <cell r="U474">
            <v>0</v>
          </cell>
          <cell r="V474">
            <v>-3649.37</v>
          </cell>
          <cell r="W474">
            <v>0</v>
          </cell>
          <cell r="X474">
            <v>0</v>
          </cell>
          <cell r="Y474">
            <v>0</v>
          </cell>
          <cell r="Z474">
            <v>0</v>
          </cell>
          <cell r="AA474">
            <v>0</v>
          </cell>
          <cell r="AB474">
            <v>57000</v>
          </cell>
          <cell r="AC474">
            <v>0</v>
          </cell>
          <cell r="AD474">
            <v>0</v>
          </cell>
          <cell r="AE474">
            <v>0</v>
          </cell>
          <cell r="AF474">
            <v>0</v>
          </cell>
        </row>
        <row r="475">
          <cell r="A475">
            <v>1700053</v>
          </cell>
          <cell r="H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57000</v>
          </cell>
          <cell r="AC475">
            <v>0</v>
          </cell>
          <cell r="AD475">
            <v>0</v>
          </cell>
          <cell r="AE475">
            <v>0</v>
          </cell>
          <cell r="AF475">
            <v>0</v>
          </cell>
        </row>
        <row r="476">
          <cell r="A476">
            <v>1700053</v>
          </cell>
          <cell r="H476">
            <v>57000</v>
          </cell>
          <cell r="K476">
            <v>0</v>
          </cell>
          <cell r="L476">
            <v>0</v>
          </cell>
          <cell r="M476">
            <v>-3649.37</v>
          </cell>
          <cell r="N476">
            <v>0</v>
          </cell>
          <cell r="O476">
            <v>0</v>
          </cell>
          <cell r="P476">
            <v>0</v>
          </cell>
          <cell r="Q476">
            <v>0</v>
          </cell>
          <cell r="R476">
            <v>0</v>
          </cell>
          <cell r="S476">
            <v>0</v>
          </cell>
          <cell r="T476">
            <v>0</v>
          </cell>
          <cell r="U476">
            <v>0</v>
          </cell>
          <cell r="V476">
            <v>-7421.07</v>
          </cell>
          <cell r="W476">
            <v>0</v>
          </cell>
          <cell r="X476">
            <v>0</v>
          </cell>
          <cell r="Y476">
            <v>0</v>
          </cell>
          <cell r="Z476">
            <v>0</v>
          </cell>
          <cell r="AA476">
            <v>0</v>
          </cell>
          <cell r="AB476">
            <v>0</v>
          </cell>
          <cell r="AC476">
            <v>0</v>
          </cell>
          <cell r="AD476">
            <v>0</v>
          </cell>
          <cell r="AE476">
            <v>0</v>
          </cell>
          <cell r="AF476">
            <v>0</v>
          </cell>
        </row>
        <row r="477">
          <cell r="A477">
            <v>1700053</v>
          </cell>
          <cell r="H477">
            <v>57000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row>
        <row r="478">
          <cell r="A478">
            <v>1700054</v>
          </cell>
          <cell r="B478" t="str">
            <v>1700054</v>
          </cell>
          <cell r="C478" t="str">
            <v>0</v>
          </cell>
          <cell r="D478" t="str">
            <v>17000</v>
          </cell>
          <cell r="E478" t="str">
            <v>G3PREMAL</v>
          </cell>
          <cell r="F478" t="str">
            <v/>
          </cell>
          <cell r="G478" t="str">
            <v>Radio Modem</v>
          </cell>
          <cell r="H478">
            <v>0</v>
          </cell>
          <cell r="K478">
            <v>0</v>
          </cell>
          <cell r="L478">
            <v>0</v>
          </cell>
          <cell r="M478">
            <v>0</v>
          </cell>
          <cell r="N478">
            <v>0</v>
          </cell>
          <cell r="O478">
            <v>0</v>
          </cell>
          <cell r="P478">
            <v>0</v>
          </cell>
          <cell r="Q478">
            <v>0</v>
          </cell>
          <cell r="R478">
            <v>0</v>
          </cell>
          <cell r="S478">
            <v>0</v>
          </cell>
          <cell r="T478">
            <v>0</v>
          </cell>
          <cell r="U478">
            <v>0</v>
          </cell>
          <cell r="V478">
            <v>-3186.57</v>
          </cell>
          <cell r="W478">
            <v>0</v>
          </cell>
          <cell r="X478">
            <v>0</v>
          </cell>
          <cell r="Y478">
            <v>0</v>
          </cell>
          <cell r="Z478">
            <v>0</v>
          </cell>
          <cell r="AA478">
            <v>0</v>
          </cell>
          <cell r="AB478">
            <v>41600</v>
          </cell>
          <cell r="AC478">
            <v>0</v>
          </cell>
          <cell r="AD478">
            <v>0</v>
          </cell>
          <cell r="AE478">
            <v>0</v>
          </cell>
          <cell r="AF478">
            <v>0</v>
          </cell>
        </row>
        <row r="479">
          <cell r="A479">
            <v>1700054</v>
          </cell>
          <cell r="H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41600</v>
          </cell>
          <cell r="AC479">
            <v>0</v>
          </cell>
          <cell r="AD479">
            <v>0</v>
          </cell>
          <cell r="AE479">
            <v>0</v>
          </cell>
          <cell r="AF479">
            <v>0</v>
          </cell>
        </row>
        <row r="480">
          <cell r="A480">
            <v>1700054</v>
          </cell>
          <cell r="H480">
            <v>41600</v>
          </cell>
          <cell r="K480">
            <v>0</v>
          </cell>
          <cell r="L480">
            <v>0</v>
          </cell>
          <cell r="M480">
            <v>-3186.57</v>
          </cell>
          <cell r="N480">
            <v>0</v>
          </cell>
          <cell r="O480">
            <v>0</v>
          </cell>
          <cell r="P480">
            <v>0</v>
          </cell>
          <cell r="Q480">
            <v>0</v>
          </cell>
          <cell r="R480">
            <v>0</v>
          </cell>
          <cell r="S480">
            <v>0</v>
          </cell>
          <cell r="T480">
            <v>0</v>
          </cell>
          <cell r="U480">
            <v>0</v>
          </cell>
          <cell r="V480">
            <v>-5343.31</v>
          </cell>
          <cell r="W480">
            <v>0</v>
          </cell>
          <cell r="X480">
            <v>0</v>
          </cell>
          <cell r="Y480">
            <v>0</v>
          </cell>
          <cell r="Z480">
            <v>0</v>
          </cell>
          <cell r="AA480">
            <v>0</v>
          </cell>
          <cell r="AB480">
            <v>0</v>
          </cell>
          <cell r="AC480">
            <v>0</v>
          </cell>
          <cell r="AD480">
            <v>0</v>
          </cell>
          <cell r="AE480">
            <v>0</v>
          </cell>
          <cell r="AF480">
            <v>0</v>
          </cell>
        </row>
        <row r="481">
          <cell r="A481">
            <v>1700054</v>
          </cell>
          <cell r="H481">
            <v>41600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row>
        <row r="482">
          <cell r="A482">
            <v>1700055</v>
          </cell>
          <cell r="B482" t="str">
            <v>1700055</v>
          </cell>
          <cell r="C482" t="str">
            <v>0</v>
          </cell>
          <cell r="D482" t="str">
            <v>17000</v>
          </cell>
          <cell r="E482" t="str">
            <v>G3PREMAL</v>
          </cell>
          <cell r="F482" t="str">
            <v/>
          </cell>
          <cell r="G482" t="str">
            <v>Rack- AHB</v>
          </cell>
          <cell r="H482">
            <v>0</v>
          </cell>
          <cell r="K482">
            <v>0</v>
          </cell>
          <cell r="L482">
            <v>0</v>
          </cell>
          <cell r="M482">
            <v>0</v>
          </cell>
          <cell r="N482">
            <v>0</v>
          </cell>
          <cell r="O482">
            <v>0</v>
          </cell>
          <cell r="P482">
            <v>0</v>
          </cell>
          <cell r="Q482">
            <v>0</v>
          </cell>
          <cell r="R482">
            <v>0</v>
          </cell>
          <cell r="S482">
            <v>0</v>
          </cell>
          <cell r="T482">
            <v>0</v>
          </cell>
          <cell r="U482">
            <v>0</v>
          </cell>
          <cell r="V482">
            <v>-2582.06</v>
          </cell>
          <cell r="W482">
            <v>0</v>
          </cell>
          <cell r="X482">
            <v>0</v>
          </cell>
          <cell r="Y482">
            <v>0</v>
          </cell>
          <cell r="Z482">
            <v>0</v>
          </cell>
          <cell r="AA482">
            <v>0</v>
          </cell>
          <cell r="AB482">
            <v>26780</v>
          </cell>
          <cell r="AC482">
            <v>0</v>
          </cell>
          <cell r="AD482">
            <v>0</v>
          </cell>
          <cell r="AE482">
            <v>0</v>
          </cell>
          <cell r="AF482">
            <v>0</v>
          </cell>
        </row>
        <row r="483">
          <cell r="A483">
            <v>1700055</v>
          </cell>
          <cell r="H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26780</v>
          </cell>
          <cell r="AC483">
            <v>0</v>
          </cell>
          <cell r="AD483">
            <v>0</v>
          </cell>
          <cell r="AE483">
            <v>0</v>
          </cell>
          <cell r="AF483">
            <v>0</v>
          </cell>
        </row>
        <row r="484">
          <cell r="A484">
            <v>1700055</v>
          </cell>
          <cell r="H484">
            <v>26780</v>
          </cell>
          <cell r="K484">
            <v>0</v>
          </cell>
          <cell r="L484">
            <v>0</v>
          </cell>
          <cell r="M484">
            <v>-2582.06</v>
          </cell>
          <cell r="N484">
            <v>0</v>
          </cell>
          <cell r="O484">
            <v>0</v>
          </cell>
          <cell r="P484">
            <v>0</v>
          </cell>
          <cell r="Q484">
            <v>0</v>
          </cell>
          <cell r="R484">
            <v>0</v>
          </cell>
          <cell r="S484">
            <v>0</v>
          </cell>
          <cell r="T484">
            <v>0</v>
          </cell>
          <cell r="U484">
            <v>0</v>
          </cell>
          <cell r="V484">
            <v>-3365.93</v>
          </cell>
          <cell r="W484">
            <v>0</v>
          </cell>
          <cell r="X484">
            <v>0</v>
          </cell>
          <cell r="Y484">
            <v>0</v>
          </cell>
          <cell r="Z484">
            <v>0</v>
          </cell>
          <cell r="AA484">
            <v>0</v>
          </cell>
          <cell r="AB484">
            <v>0</v>
          </cell>
          <cell r="AC484">
            <v>0</v>
          </cell>
          <cell r="AD484">
            <v>0</v>
          </cell>
          <cell r="AE484">
            <v>0</v>
          </cell>
          <cell r="AF484">
            <v>0</v>
          </cell>
        </row>
        <row r="485">
          <cell r="A485">
            <v>1700055</v>
          </cell>
          <cell r="H485">
            <v>26780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row>
        <row r="486">
          <cell r="A486">
            <v>1700056</v>
          </cell>
          <cell r="B486" t="str">
            <v>1700056</v>
          </cell>
          <cell r="C486" t="str">
            <v>0</v>
          </cell>
          <cell r="D486" t="str">
            <v>17000</v>
          </cell>
          <cell r="E486" t="str">
            <v>G3PREMAL</v>
          </cell>
          <cell r="F486" t="str">
            <v/>
          </cell>
          <cell r="G486" t="str">
            <v>GENERATOR</v>
          </cell>
        </row>
        <row r="487">
          <cell r="A487">
            <v>1700057</v>
          </cell>
          <cell r="B487" t="str">
            <v>1700057</v>
          </cell>
          <cell r="C487" t="str">
            <v>0</v>
          </cell>
          <cell r="D487" t="str">
            <v>17000</v>
          </cell>
          <cell r="E487" t="str">
            <v>G3PREMAL</v>
          </cell>
          <cell r="F487" t="str">
            <v/>
          </cell>
          <cell r="G487" t="str">
            <v>Jelly Filled Cable</v>
          </cell>
          <cell r="H487">
            <v>0</v>
          </cell>
          <cell r="K487">
            <v>0</v>
          </cell>
          <cell r="L487">
            <v>0</v>
          </cell>
          <cell r="M487">
            <v>0</v>
          </cell>
          <cell r="N487">
            <v>0</v>
          </cell>
          <cell r="O487">
            <v>0</v>
          </cell>
          <cell r="P487">
            <v>0</v>
          </cell>
          <cell r="Q487">
            <v>0</v>
          </cell>
          <cell r="R487">
            <v>0</v>
          </cell>
          <cell r="S487">
            <v>0</v>
          </cell>
          <cell r="T487">
            <v>0</v>
          </cell>
          <cell r="U487">
            <v>0</v>
          </cell>
          <cell r="V487">
            <v>-1640.86</v>
          </cell>
          <cell r="W487">
            <v>0</v>
          </cell>
          <cell r="X487">
            <v>0</v>
          </cell>
          <cell r="Y487">
            <v>0</v>
          </cell>
          <cell r="Z487">
            <v>0</v>
          </cell>
          <cell r="AA487">
            <v>0</v>
          </cell>
          <cell r="AB487">
            <v>15600</v>
          </cell>
          <cell r="AC487">
            <v>0</v>
          </cell>
          <cell r="AD487">
            <v>0</v>
          </cell>
          <cell r="AE487">
            <v>0</v>
          </cell>
          <cell r="AF487">
            <v>0</v>
          </cell>
        </row>
        <row r="488">
          <cell r="A488">
            <v>1700057</v>
          </cell>
          <cell r="H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15600</v>
          </cell>
          <cell r="AC488">
            <v>0</v>
          </cell>
          <cell r="AD488">
            <v>0</v>
          </cell>
          <cell r="AE488">
            <v>0</v>
          </cell>
          <cell r="AF488">
            <v>0</v>
          </cell>
        </row>
        <row r="489">
          <cell r="A489">
            <v>1700058</v>
          </cell>
          <cell r="B489" t="str">
            <v>1700058</v>
          </cell>
          <cell r="C489" t="str">
            <v>0</v>
          </cell>
          <cell r="D489" t="str">
            <v>17000</v>
          </cell>
          <cell r="E489" t="str">
            <v>G3PREMAL</v>
          </cell>
          <cell r="F489" t="str">
            <v>G3PREMAL</v>
          </cell>
          <cell r="G489" t="str">
            <v>RADIO MODAM</v>
          </cell>
          <cell r="H489">
            <v>0</v>
          </cell>
          <cell r="K489">
            <v>0</v>
          </cell>
          <cell r="L489">
            <v>0</v>
          </cell>
          <cell r="M489">
            <v>0</v>
          </cell>
          <cell r="N489">
            <v>0</v>
          </cell>
          <cell r="O489">
            <v>0</v>
          </cell>
          <cell r="P489">
            <v>0</v>
          </cell>
          <cell r="Q489">
            <v>0</v>
          </cell>
          <cell r="R489">
            <v>0</v>
          </cell>
          <cell r="S489">
            <v>0</v>
          </cell>
          <cell r="T489">
            <v>0</v>
          </cell>
          <cell r="U489">
            <v>0</v>
          </cell>
          <cell r="V489">
            <v>-1617.52</v>
          </cell>
          <cell r="W489">
            <v>0</v>
          </cell>
          <cell r="X489">
            <v>0</v>
          </cell>
          <cell r="Y489">
            <v>0</v>
          </cell>
          <cell r="Z489">
            <v>0</v>
          </cell>
          <cell r="AA489">
            <v>0</v>
          </cell>
          <cell r="AB489">
            <v>16200</v>
          </cell>
          <cell r="AC489">
            <v>0</v>
          </cell>
          <cell r="AD489">
            <v>0</v>
          </cell>
          <cell r="AE489">
            <v>0</v>
          </cell>
          <cell r="AF489">
            <v>0</v>
          </cell>
        </row>
        <row r="490">
          <cell r="A490">
            <v>1700058</v>
          </cell>
          <cell r="H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16200</v>
          </cell>
          <cell r="AC490">
            <v>0</v>
          </cell>
          <cell r="AD490">
            <v>0</v>
          </cell>
          <cell r="AE490">
            <v>0</v>
          </cell>
          <cell r="AF490">
            <v>0</v>
          </cell>
        </row>
        <row r="491">
          <cell r="A491">
            <v>1700059</v>
          </cell>
          <cell r="B491" t="str">
            <v>1700059</v>
          </cell>
          <cell r="C491" t="str">
            <v>0</v>
          </cell>
          <cell r="D491" t="str">
            <v>17000</v>
          </cell>
          <cell r="E491" t="str">
            <v>G3PREMAL</v>
          </cell>
          <cell r="F491" t="str">
            <v/>
          </cell>
          <cell r="G491" t="str">
            <v>CONVERTER</v>
          </cell>
          <cell r="H491">
            <v>0</v>
          </cell>
          <cell r="K491">
            <v>0</v>
          </cell>
          <cell r="L491">
            <v>0</v>
          </cell>
          <cell r="M491">
            <v>0</v>
          </cell>
          <cell r="N491">
            <v>0</v>
          </cell>
          <cell r="O491">
            <v>0</v>
          </cell>
          <cell r="P491">
            <v>0</v>
          </cell>
          <cell r="Q491">
            <v>0</v>
          </cell>
          <cell r="R491">
            <v>0</v>
          </cell>
          <cell r="S491">
            <v>0</v>
          </cell>
          <cell r="T491">
            <v>0</v>
          </cell>
          <cell r="U491">
            <v>0</v>
          </cell>
          <cell r="V491">
            <v>-5202.91</v>
          </cell>
          <cell r="W491">
            <v>0</v>
          </cell>
          <cell r="X491">
            <v>0</v>
          </cell>
          <cell r="Y491">
            <v>0</v>
          </cell>
          <cell r="Z491">
            <v>0</v>
          </cell>
          <cell r="AA491">
            <v>0</v>
          </cell>
          <cell r="AB491">
            <v>62056.800000000003</v>
          </cell>
          <cell r="AC491">
            <v>0</v>
          </cell>
          <cell r="AD491">
            <v>0</v>
          </cell>
          <cell r="AE491">
            <v>0</v>
          </cell>
          <cell r="AF491">
            <v>0</v>
          </cell>
        </row>
        <row r="492">
          <cell r="A492">
            <v>1700059</v>
          </cell>
          <cell r="H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62056.800000000003</v>
          </cell>
          <cell r="AC492">
            <v>0</v>
          </cell>
          <cell r="AD492">
            <v>0</v>
          </cell>
          <cell r="AE492">
            <v>0</v>
          </cell>
          <cell r="AF492">
            <v>0</v>
          </cell>
        </row>
        <row r="493">
          <cell r="A493">
            <v>1700060</v>
          </cell>
          <cell r="B493" t="str">
            <v>1700060</v>
          </cell>
          <cell r="C493" t="str">
            <v>0</v>
          </cell>
          <cell r="D493" t="str">
            <v>17000</v>
          </cell>
          <cell r="E493" t="str">
            <v>G3PREMAL</v>
          </cell>
          <cell r="F493" t="str">
            <v/>
          </cell>
          <cell r="G493" t="str">
            <v>CONVERTER</v>
          </cell>
          <cell r="H493">
            <v>0</v>
          </cell>
          <cell r="K493">
            <v>0</v>
          </cell>
          <cell r="L493">
            <v>0</v>
          </cell>
          <cell r="M493">
            <v>0</v>
          </cell>
          <cell r="N493">
            <v>0</v>
          </cell>
          <cell r="O493">
            <v>0</v>
          </cell>
          <cell r="P493">
            <v>0</v>
          </cell>
          <cell r="Q493">
            <v>0</v>
          </cell>
          <cell r="R493">
            <v>0</v>
          </cell>
          <cell r="S493">
            <v>0</v>
          </cell>
          <cell r="T493">
            <v>0</v>
          </cell>
          <cell r="U493">
            <v>0</v>
          </cell>
          <cell r="V493">
            <v>-5202.91</v>
          </cell>
          <cell r="W493">
            <v>0</v>
          </cell>
          <cell r="X493">
            <v>0</v>
          </cell>
          <cell r="Y493">
            <v>0</v>
          </cell>
          <cell r="Z493">
            <v>0</v>
          </cell>
          <cell r="AA493">
            <v>0</v>
          </cell>
          <cell r="AB493">
            <v>62056.800000000003</v>
          </cell>
          <cell r="AC493">
            <v>0</v>
          </cell>
          <cell r="AD493">
            <v>0</v>
          </cell>
          <cell r="AE493">
            <v>0</v>
          </cell>
          <cell r="AF493">
            <v>0</v>
          </cell>
        </row>
        <row r="494">
          <cell r="A494">
            <v>1700060</v>
          </cell>
          <cell r="H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62056.800000000003</v>
          </cell>
          <cell r="AC494">
            <v>0</v>
          </cell>
          <cell r="AD494">
            <v>0</v>
          </cell>
          <cell r="AE494">
            <v>0</v>
          </cell>
          <cell r="AF494">
            <v>0</v>
          </cell>
        </row>
        <row r="495">
          <cell r="A495">
            <v>1700061</v>
          </cell>
          <cell r="B495" t="str">
            <v>1700061</v>
          </cell>
          <cell r="C495" t="str">
            <v>LAN EXTENDER</v>
          </cell>
          <cell r="G495" t="str">
            <v>LAN EXTENDER</v>
          </cell>
          <cell r="H495">
            <v>0</v>
          </cell>
          <cell r="K495">
            <v>0</v>
          </cell>
          <cell r="L495">
            <v>0</v>
          </cell>
          <cell r="M495">
            <v>0</v>
          </cell>
          <cell r="N495">
            <v>0</v>
          </cell>
          <cell r="O495">
            <v>0</v>
          </cell>
          <cell r="P495">
            <v>0</v>
          </cell>
          <cell r="Q495">
            <v>0</v>
          </cell>
          <cell r="R495">
            <v>0</v>
          </cell>
          <cell r="S495">
            <v>0</v>
          </cell>
          <cell r="T495">
            <v>0</v>
          </cell>
          <cell r="U495">
            <v>0</v>
          </cell>
          <cell r="V495">
            <v>-1093.9000000000001</v>
          </cell>
          <cell r="W495">
            <v>0</v>
          </cell>
          <cell r="X495">
            <v>0</v>
          </cell>
          <cell r="Y495">
            <v>0</v>
          </cell>
          <cell r="Z495">
            <v>0</v>
          </cell>
          <cell r="AA495">
            <v>0</v>
          </cell>
          <cell r="AB495">
            <v>10400</v>
          </cell>
          <cell r="AC495">
            <v>0</v>
          </cell>
          <cell r="AD495">
            <v>0</v>
          </cell>
          <cell r="AE495">
            <v>0</v>
          </cell>
          <cell r="AF495">
            <v>0</v>
          </cell>
        </row>
        <row r="496">
          <cell r="A496">
            <v>1700061</v>
          </cell>
          <cell r="H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10400</v>
          </cell>
          <cell r="AC496">
            <v>0</v>
          </cell>
          <cell r="AD496">
            <v>0</v>
          </cell>
          <cell r="AE496">
            <v>0</v>
          </cell>
          <cell r="AF496">
            <v>0</v>
          </cell>
        </row>
        <row r="497">
          <cell r="A497">
            <v>1700062</v>
          </cell>
          <cell r="B497" t="str">
            <v>1700062</v>
          </cell>
          <cell r="C497" t="str">
            <v>RADIO MODEM</v>
          </cell>
          <cell r="G497" t="str">
            <v>RADIO MODEM</v>
          </cell>
          <cell r="H497">
            <v>0</v>
          </cell>
          <cell r="K497">
            <v>0</v>
          </cell>
          <cell r="L497">
            <v>0</v>
          </cell>
          <cell r="M497">
            <v>0</v>
          </cell>
          <cell r="N497">
            <v>0</v>
          </cell>
          <cell r="O497">
            <v>0</v>
          </cell>
          <cell r="P497">
            <v>0</v>
          </cell>
          <cell r="Q497">
            <v>0</v>
          </cell>
          <cell r="R497">
            <v>0</v>
          </cell>
          <cell r="S497">
            <v>0</v>
          </cell>
          <cell r="T497">
            <v>0</v>
          </cell>
          <cell r="U497">
            <v>0</v>
          </cell>
          <cell r="V497">
            <v>-3262.58</v>
          </cell>
          <cell r="W497">
            <v>0</v>
          </cell>
          <cell r="X497">
            <v>0</v>
          </cell>
          <cell r="Y497">
            <v>0</v>
          </cell>
          <cell r="Z497">
            <v>0</v>
          </cell>
          <cell r="AA497">
            <v>0</v>
          </cell>
          <cell r="AB497">
            <v>34801</v>
          </cell>
          <cell r="AC497">
            <v>0</v>
          </cell>
          <cell r="AD497">
            <v>0</v>
          </cell>
          <cell r="AE497">
            <v>0</v>
          </cell>
          <cell r="AF497">
            <v>0</v>
          </cell>
        </row>
        <row r="498">
          <cell r="A498">
            <v>1700062</v>
          </cell>
          <cell r="H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34801</v>
          </cell>
          <cell r="AC498">
            <v>0</v>
          </cell>
          <cell r="AD498">
            <v>0</v>
          </cell>
          <cell r="AE498">
            <v>0</v>
          </cell>
          <cell r="AF498">
            <v>0</v>
          </cell>
        </row>
        <row r="499">
          <cell r="A499">
            <v>1700063</v>
          </cell>
          <cell r="B499" t="str">
            <v>1700063</v>
          </cell>
          <cell r="C499" t="str">
            <v>FIBER OPTIC TRANCEIVER</v>
          </cell>
          <cell r="G499" t="str">
            <v>FIBER OPTIC TRANCEIVER</v>
          </cell>
          <cell r="H499">
            <v>0</v>
          </cell>
          <cell r="K499">
            <v>0</v>
          </cell>
          <cell r="L499">
            <v>0</v>
          </cell>
          <cell r="M499">
            <v>0</v>
          </cell>
          <cell r="N499">
            <v>0</v>
          </cell>
          <cell r="O499">
            <v>0</v>
          </cell>
          <cell r="P499">
            <v>0</v>
          </cell>
          <cell r="Q499">
            <v>0</v>
          </cell>
          <cell r="R499">
            <v>0</v>
          </cell>
          <cell r="S499">
            <v>0</v>
          </cell>
          <cell r="T499">
            <v>0</v>
          </cell>
          <cell r="U499">
            <v>0</v>
          </cell>
          <cell r="V499">
            <v>-478.28</v>
          </cell>
          <cell r="W499">
            <v>0</v>
          </cell>
          <cell r="X499">
            <v>0</v>
          </cell>
          <cell r="Y499">
            <v>0</v>
          </cell>
          <cell r="Z499">
            <v>0</v>
          </cell>
          <cell r="AA499">
            <v>0</v>
          </cell>
          <cell r="AB499">
            <v>5000</v>
          </cell>
          <cell r="AC499">
            <v>0</v>
          </cell>
          <cell r="AD499">
            <v>0</v>
          </cell>
          <cell r="AE499">
            <v>0</v>
          </cell>
          <cell r="AF499">
            <v>0</v>
          </cell>
        </row>
        <row r="500">
          <cell r="A500">
            <v>1700063</v>
          </cell>
          <cell r="H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5000</v>
          </cell>
          <cell r="AC500">
            <v>0</v>
          </cell>
          <cell r="AD500">
            <v>0</v>
          </cell>
          <cell r="AE500">
            <v>0</v>
          </cell>
          <cell r="AF500">
            <v>0</v>
          </cell>
        </row>
        <row r="501">
          <cell r="A501">
            <v>1700064</v>
          </cell>
          <cell r="B501" t="str">
            <v>1700064</v>
          </cell>
          <cell r="C501" t="str">
            <v>1700064</v>
          </cell>
          <cell r="G501" t="str">
            <v>Switch</v>
          </cell>
        </row>
        <row r="502">
          <cell r="A502">
            <v>1700065</v>
          </cell>
          <cell r="B502" t="str">
            <v>1700065</v>
          </cell>
          <cell r="G502" t="str">
            <v>CISCO ROUTER</v>
          </cell>
          <cell r="H502">
            <v>0</v>
          </cell>
          <cell r="K502">
            <v>0</v>
          </cell>
          <cell r="L502">
            <v>0</v>
          </cell>
          <cell r="M502">
            <v>0</v>
          </cell>
          <cell r="N502">
            <v>0</v>
          </cell>
          <cell r="O502">
            <v>0</v>
          </cell>
          <cell r="P502">
            <v>0</v>
          </cell>
          <cell r="Q502">
            <v>0</v>
          </cell>
          <cell r="R502">
            <v>0</v>
          </cell>
          <cell r="S502">
            <v>0</v>
          </cell>
          <cell r="T502">
            <v>0</v>
          </cell>
          <cell r="U502">
            <v>0</v>
          </cell>
          <cell r="V502">
            <v>-8504.35</v>
          </cell>
          <cell r="W502">
            <v>0</v>
          </cell>
          <cell r="X502">
            <v>0</v>
          </cell>
          <cell r="Y502">
            <v>0</v>
          </cell>
          <cell r="Z502">
            <v>0</v>
          </cell>
          <cell r="AA502">
            <v>0</v>
          </cell>
          <cell r="AB502">
            <v>85500</v>
          </cell>
          <cell r="AC502">
            <v>0</v>
          </cell>
          <cell r="AD502">
            <v>0</v>
          </cell>
          <cell r="AE502">
            <v>0</v>
          </cell>
          <cell r="AF502">
            <v>0</v>
          </cell>
        </row>
        <row r="503">
          <cell r="A503">
            <v>1700065</v>
          </cell>
          <cell r="H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85500</v>
          </cell>
          <cell r="AC503">
            <v>0</v>
          </cell>
          <cell r="AD503">
            <v>0</v>
          </cell>
          <cell r="AE503">
            <v>0</v>
          </cell>
          <cell r="AF503">
            <v>0</v>
          </cell>
        </row>
        <row r="504">
          <cell r="A504">
            <v>1700066</v>
          </cell>
          <cell r="B504" t="str">
            <v>1700066</v>
          </cell>
          <cell r="G504" t="str">
            <v>OPTIMUX</v>
          </cell>
          <cell r="H504">
            <v>0</v>
          </cell>
          <cell r="K504">
            <v>0</v>
          </cell>
          <cell r="L504">
            <v>0</v>
          </cell>
          <cell r="M504">
            <v>0</v>
          </cell>
          <cell r="N504">
            <v>0</v>
          </cell>
          <cell r="O504">
            <v>0</v>
          </cell>
          <cell r="P504">
            <v>0</v>
          </cell>
          <cell r="Q504">
            <v>0</v>
          </cell>
          <cell r="R504">
            <v>0</v>
          </cell>
          <cell r="S504">
            <v>0</v>
          </cell>
          <cell r="T504">
            <v>0</v>
          </cell>
          <cell r="U504">
            <v>0</v>
          </cell>
          <cell r="V504">
            <v>-4169</v>
          </cell>
          <cell r="W504">
            <v>0</v>
          </cell>
          <cell r="X504">
            <v>0</v>
          </cell>
          <cell r="Y504">
            <v>0</v>
          </cell>
          <cell r="Z504">
            <v>0</v>
          </cell>
          <cell r="AA504">
            <v>0</v>
          </cell>
          <cell r="AB504">
            <v>49500</v>
          </cell>
          <cell r="AC504">
            <v>0</v>
          </cell>
          <cell r="AD504">
            <v>0</v>
          </cell>
          <cell r="AE504">
            <v>0</v>
          </cell>
          <cell r="AF504">
            <v>0</v>
          </cell>
        </row>
        <row r="505">
          <cell r="A505">
            <v>1700066</v>
          </cell>
          <cell r="H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49500</v>
          </cell>
          <cell r="AC505">
            <v>0</v>
          </cell>
          <cell r="AD505">
            <v>0</v>
          </cell>
          <cell r="AE505">
            <v>0</v>
          </cell>
          <cell r="AF505">
            <v>0</v>
          </cell>
        </row>
        <row r="506">
          <cell r="A506">
            <v>1700067</v>
          </cell>
          <cell r="B506" t="str">
            <v>1700067</v>
          </cell>
          <cell r="G506" t="str">
            <v>OFC JOINT CLOSURE</v>
          </cell>
          <cell r="H506">
            <v>0</v>
          </cell>
          <cell r="K506">
            <v>0</v>
          </cell>
          <cell r="L506">
            <v>0</v>
          </cell>
          <cell r="M506">
            <v>0</v>
          </cell>
          <cell r="N506">
            <v>0</v>
          </cell>
          <cell r="O506">
            <v>0</v>
          </cell>
          <cell r="P506">
            <v>0</v>
          </cell>
          <cell r="Q506">
            <v>0</v>
          </cell>
          <cell r="R506">
            <v>0</v>
          </cell>
          <cell r="S506">
            <v>0</v>
          </cell>
          <cell r="T506">
            <v>0</v>
          </cell>
          <cell r="U506">
            <v>0</v>
          </cell>
          <cell r="V506">
            <v>-344.36</v>
          </cell>
          <cell r="W506">
            <v>0</v>
          </cell>
          <cell r="X506">
            <v>0</v>
          </cell>
          <cell r="Y506">
            <v>0</v>
          </cell>
          <cell r="Z506">
            <v>0</v>
          </cell>
          <cell r="AA506">
            <v>0</v>
          </cell>
          <cell r="AB506">
            <v>3600</v>
          </cell>
          <cell r="AC506">
            <v>0</v>
          </cell>
          <cell r="AD506">
            <v>0</v>
          </cell>
          <cell r="AE506">
            <v>0</v>
          </cell>
          <cell r="AF506">
            <v>0</v>
          </cell>
        </row>
        <row r="507">
          <cell r="A507">
            <v>1700067</v>
          </cell>
          <cell r="H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3600</v>
          </cell>
          <cell r="AC507">
            <v>0</v>
          </cell>
          <cell r="AD507">
            <v>0</v>
          </cell>
          <cell r="AE507">
            <v>0</v>
          </cell>
          <cell r="AF507">
            <v>0</v>
          </cell>
        </row>
        <row r="508">
          <cell r="A508">
            <v>1700068</v>
          </cell>
          <cell r="B508" t="str">
            <v>1700068</v>
          </cell>
          <cell r="G508" t="str">
            <v>TERMINATION BOX(LIU)</v>
          </cell>
          <cell r="H508">
            <v>0</v>
          </cell>
          <cell r="K508">
            <v>0</v>
          </cell>
          <cell r="L508">
            <v>0</v>
          </cell>
          <cell r="M508">
            <v>0</v>
          </cell>
          <cell r="N508">
            <v>0</v>
          </cell>
          <cell r="O508">
            <v>0</v>
          </cell>
          <cell r="P508">
            <v>0</v>
          </cell>
          <cell r="Q508">
            <v>0</v>
          </cell>
          <cell r="R508">
            <v>0</v>
          </cell>
          <cell r="S508">
            <v>0</v>
          </cell>
          <cell r="T508">
            <v>0</v>
          </cell>
          <cell r="U508">
            <v>0</v>
          </cell>
          <cell r="V508">
            <v>-172.18</v>
          </cell>
          <cell r="W508">
            <v>0</v>
          </cell>
          <cell r="X508">
            <v>0</v>
          </cell>
          <cell r="Y508">
            <v>0</v>
          </cell>
          <cell r="Z508">
            <v>0</v>
          </cell>
          <cell r="AA508">
            <v>0</v>
          </cell>
          <cell r="AB508">
            <v>1800</v>
          </cell>
          <cell r="AC508">
            <v>0</v>
          </cell>
          <cell r="AD508">
            <v>0</v>
          </cell>
          <cell r="AE508">
            <v>0</v>
          </cell>
          <cell r="AF508">
            <v>0</v>
          </cell>
        </row>
        <row r="509">
          <cell r="A509">
            <v>1700068</v>
          </cell>
          <cell r="H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1800</v>
          </cell>
          <cell r="AC509">
            <v>0</v>
          </cell>
          <cell r="AD509">
            <v>0</v>
          </cell>
          <cell r="AE509">
            <v>0</v>
          </cell>
          <cell r="AF509">
            <v>0</v>
          </cell>
        </row>
        <row r="510">
          <cell r="A510">
            <v>1700069</v>
          </cell>
          <cell r="B510" t="str">
            <v>1700069</v>
          </cell>
          <cell r="G510" t="str">
            <v>SC-SC PATCH CORD</v>
          </cell>
          <cell r="H510">
            <v>0</v>
          </cell>
          <cell r="K510">
            <v>0</v>
          </cell>
          <cell r="L510">
            <v>0</v>
          </cell>
          <cell r="M510">
            <v>0</v>
          </cell>
          <cell r="N510">
            <v>0</v>
          </cell>
          <cell r="O510">
            <v>0</v>
          </cell>
          <cell r="P510">
            <v>0</v>
          </cell>
          <cell r="Q510">
            <v>0</v>
          </cell>
          <cell r="R510">
            <v>0</v>
          </cell>
          <cell r="S510">
            <v>0</v>
          </cell>
          <cell r="T510">
            <v>0</v>
          </cell>
          <cell r="U510">
            <v>0</v>
          </cell>
          <cell r="V510">
            <v>-473.5</v>
          </cell>
          <cell r="W510">
            <v>0</v>
          </cell>
          <cell r="X510">
            <v>0</v>
          </cell>
          <cell r="Y510">
            <v>0</v>
          </cell>
          <cell r="Z510">
            <v>0</v>
          </cell>
          <cell r="AA510">
            <v>0</v>
          </cell>
          <cell r="AB510">
            <v>4950</v>
          </cell>
          <cell r="AC510">
            <v>0</v>
          </cell>
          <cell r="AD510">
            <v>0</v>
          </cell>
          <cell r="AE510">
            <v>0</v>
          </cell>
          <cell r="AF510">
            <v>0</v>
          </cell>
        </row>
        <row r="511">
          <cell r="A511">
            <v>1700069</v>
          </cell>
          <cell r="H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4950</v>
          </cell>
          <cell r="AC511">
            <v>0</v>
          </cell>
          <cell r="AD511">
            <v>0</v>
          </cell>
          <cell r="AE511">
            <v>0</v>
          </cell>
          <cell r="AF511">
            <v>0</v>
          </cell>
        </row>
        <row r="512">
          <cell r="A512">
            <v>1700070</v>
          </cell>
          <cell r="B512" t="str">
            <v>1700070</v>
          </cell>
          <cell r="G512" t="str">
            <v>FIBER SPILICING</v>
          </cell>
          <cell r="H512">
            <v>0</v>
          </cell>
          <cell r="K512">
            <v>0</v>
          </cell>
          <cell r="L512">
            <v>0</v>
          </cell>
          <cell r="M512">
            <v>0</v>
          </cell>
          <cell r="N512">
            <v>0</v>
          </cell>
          <cell r="O512">
            <v>0</v>
          </cell>
          <cell r="P512">
            <v>0</v>
          </cell>
          <cell r="Q512">
            <v>0</v>
          </cell>
          <cell r="R512">
            <v>0</v>
          </cell>
          <cell r="S512">
            <v>0</v>
          </cell>
          <cell r="T512">
            <v>0</v>
          </cell>
          <cell r="U512">
            <v>0</v>
          </cell>
          <cell r="V512">
            <v>-568.20000000000005</v>
          </cell>
          <cell r="W512">
            <v>0</v>
          </cell>
          <cell r="X512">
            <v>0</v>
          </cell>
          <cell r="Y512">
            <v>0</v>
          </cell>
          <cell r="Z512">
            <v>0</v>
          </cell>
          <cell r="AA512">
            <v>0</v>
          </cell>
          <cell r="AB512">
            <v>5940</v>
          </cell>
          <cell r="AC512">
            <v>0</v>
          </cell>
          <cell r="AD512">
            <v>0</v>
          </cell>
          <cell r="AE512">
            <v>0</v>
          </cell>
          <cell r="AF512">
            <v>0</v>
          </cell>
        </row>
        <row r="513">
          <cell r="A513">
            <v>1700070</v>
          </cell>
          <cell r="H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5940</v>
          </cell>
          <cell r="AC513">
            <v>0</v>
          </cell>
          <cell r="AD513">
            <v>0</v>
          </cell>
          <cell r="AE513">
            <v>0</v>
          </cell>
          <cell r="AF513">
            <v>0</v>
          </cell>
        </row>
        <row r="514">
          <cell r="A514">
            <v>1700071</v>
          </cell>
          <cell r="B514" t="str">
            <v>1700071</v>
          </cell>
          <cell r="G514" t="str">
            <v>CONVERTER</v>
          </cell>
          <cell r="H514">
            <v>0</v>
          </cell>
          <cell r="K514">
            <v>0</v>
          </cell>
          <cell r="L514">
            <v>0</v>
          </cell>
          <cell r="M514">
            <v>0</v>
          </cell>
          <cell r="N514">
            <v>0</v>
          </cell>
          <cell r="O514">
            <v>0</v>
          </cell>
          <cell r="P514">
            <v>0</v>
          </cell>
          <cell r="Q514">
            <v>0</v>
          </cell>
          <cell r="R514">
            <v>0</v>
          </cell>
          <cell r="S514">
            <v>0</v>
          </cell>
          <cell r="T514">
            <v>0</v>
          </cell>
          <cell r="U514">
            <v>0</v>
          </cell>
          <cell r="V514">
            <v>-3205.12</v>
          </cell>
          <cell r="W514">
            <v>0</v>
          </cell>
          <cell r="X514">
            <v>0</v>
          </cell>
          <cell r="Y514">
            <v>0</v>
          </cell>
          <cell r="Z514">
            <v>0</v>
          </cell>
          <cell r="AA514">
            <v>0</v>
          </cell>
          <cell r="AB514">
            <v>38403</v>
          </cell>
          <cell r="AC514">
            <v>0</v>
          </cell>
          <cell r="AD514">
            <v>0</v>
          </cell>
          <cell r="AE514">
            <v>0</v>
          </cell>
          <cell r="AF514">
            <v>0</v>
          </cell>
        </row>
        <row r="515">
          <cell r="A515">
            <v>1700071</v>
          </cell>
          <cell r="H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38403</v>
          </cell>
          <cell r="AC515">
            <v>0</v>
          </cell>
          <cell r="AD515">
            <v>0</v>
          </cell>
          <cell r="AE515">
            <v>0</v>
          </cell>
          <cell r="AF515">
            <v>0</v>
          </cell>
        </row>
        <row r="516">
          <cell r="A516">
            <v>1700072</v>
          </cell>
          <cell r="B516" t="str">
            <v>1700072</v>
          </cell>
          <cell r="G516" t="str">
            <v>VPN ROUTER</v>
          </cell>
          <cell r="H516">
            <v>0</v>
          </cell>
          <cell r="K516">
            <v>0</v>
          </cell>
          <cell r="L516">
            <v>0</v>
          </cell>
          <cell r="M516">
            <v>0</v>
          </cell>
          <cell r="N516">
            <v>0</v>
          </cell>
          <cell r="O516">
            <v>0</v>
          </cell>
          <cell r="P516">
            <v>0</v>
          </cell>
          <cell r="Q516">
            <v>0</v>
          </cell>
          <cell r="R516">
            <v>0</v>
          </cell>
          <cell r="S516">
            <v>0</v>
          </cell>
          <cell r="T516">
            <v>0</v>
          </cell>
          <cell r="U516">
            <v>0</v>
          </cell>
          <cell r="V516">
            <v>-498.55</v>
          </cell>
          <cell r="W516">
            <v>0</v>
          </cell>
          <cell r="X516">
            <v>0</v>
          </cell>
          <cell r="Y516">
            <v>0</v>
          </cell>
          <cell r="Z516">
            <v>0</v>
          </cell>
          <cell r="AA516">
            <v>0</v>
          </cell>
          <cell r="AB516">
            <v>6289.43</v>
          </cell>
          <cell r="AC516">
            <v>0</v>
          </cell>
          <cell r="AD516">
            <v>0</v>
          </cell>
          <cell r="AE516">
            <v>0</v>
          </cell>
          <cell r="AF516">
            <v>0</v>
          </cell>
        </row>
        <row r="517">
          <cell r="A517">
            <v>1700072</v>
          </cell>
          <cell r="H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6289.43</v>
          </cell>
          <cell r="AC517">
            <v>0</v>
          </cell>
          <cell r="AD517">
            <v>0</v>
          </cell>
          <cell r="AE517">
            <v>0</v>
          </cell>
          <cell r="AF517">
            <v>0</v>
          </cell>
        </row>
        <row r="518">
          <cell r="A518">
            <v>1700073</v>
          </cell>
          <cell r="B518" t="str">
            <v>1700073</v>
          </cell>
          <cell r="G518" t="str">
            <v>Optimux</v>
          </cell>
          <cell r="H518">
            <v>0</v>
          </cell>
          <cell r="K518">
            <v>0</v>
          </cell>
          <cell r="L518">
            <v>0</v>
          </cell>
          <cell r="M518">
            <v>0</v>
          </cell>
          <cell r="N518">
            <v>0</v>
          </cell>
          <cell r="O518">
            <v>0</v>
          </cell>
          <cell r="P518">
            <v>0</v>
          </cell>
          <cell r="Q518">
            <v>0</v>
          </cell>
          <cell r="R518">
            <v>0</v>
          </cell>
          <cell r="S518">
            <v>0</v>
          </cell>
          <cell r="T518">
            <v>0</v>
          </cell>
          <cell r="U518">
            <v>0</v>
          </cell>
          <cell r="V518">
            <v>-9015.14</v>
          </cell>
          <cell r="W518">
            <v>0</v>
          </cell>
          <cell r="X518">
            <v>0</v>
          </cell>
          <cell r="Y518">
            <v>0</v>
          </cell>
          <cell r="Z518">
            <v>0</v>
          </cell>
          <cell r="AA518">
            <v>0</v>
          </cell>
          <cell r="AB518">
            <v>113729.98</v>
          </cell>
          <cell r="AC518">
            <v>0</v>
          </cell>
          <cell r="AD518">
            <v>0</v>
          </cell>
          <cell r="AE518">
            <v>0</v>
          </cell>
          <cell r="AF518">
            <v>0</v>
          </cell>
        </row>
        <row r="519">
          <cell r="A519">
            <v>1700073</v>
          </cell>
          <cell r="H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113729.98</v>
          </cell>
          <cell r="AC519">
            <v>0</v>
          </cell>
          <cell r="AD519">
            <v>0</v>
          </cell>
          <cell r="AE519">
            <v>0</v>
          </cell>
          <cell r="AF519">
            <v>0</v>
          </cell>
        </row>
        <row r="520">
          <cell r="A520">
            <v>1700074</v>
          </cell>
          <cell r="B520" t="str">
            <v>1700074</v>
          </cell>
          <cell r="G520" t="str">
            <v>CONVERTER</v>
          </cell>
        </row>
        <row r="521">
          <cell r="A521">
            <v>1700075</v>
          </cell>
          <cell r="B521" t="str">
            <v>1700075</v>
          </cell>
          <cell r="G521" t="str">
            <v>CONVERTER</v>
          </cell>
          <cell r="H521">
            <v>0</v>
          </cell>
          <cell r="K521">
            <v>0</v>
          </cell>
          <cell r="L521">
            <v>0</v>
          </cell>
          <cell r="M521">
            <v>0</v>
          </cell>
          <cell r="N521">
            <v>0</v>
          </cell>
          <cell r="O521">
            <v>0</v>
          </cell>
          <cell r="P521">
            <v>0</v>
          </cell>
          <cell r="Q521">
            <v>0</v>
          </cell>
          <cell r="R521">
            <v>0</v>
          </cell>
          <cell r="S521">
            <v>0</v>
          </cell>
          <cell r="T521">
            <v>0</v>
          </cell>
          <cell r="U521">
            <v>0</v>
          </cell>
          <cell r="V521">
            <v>-2522.62</v>
          </cell>
          <cell r="W521">
            <v>0</v>
          </cell>
          <cell r="X521">
            <v>0</v>
          </cell>
          <cell r="Y521">
            <v>0</v>
          </cell>
          <cell r="Z521">
            <v>0</v>
          </cell>
          <cell r="AA521">
            <v>0</v>
          </cell>
          <cell r="AB521">
            <v>31823.99</v>
          </cell>
          <cell r="AC521">
            <v>0</v>
          </cell>
          <cell r="AD521">
            <v>0</v>
          </cell>
          <cell r="AE521">
            <v>0</v>
          </cell>
          <cell r="AF521">
            <v>0</v>
          </cell>
        </row>
        <row r="522">
          <cell r="A522">
            <v>1700075</v>
          </cell>
          <cell r="H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31823.99</v>
          </cell>
          <cell r="AC522">
            <v>0</v>
          </cell>
          <cell r="AD522">
            <v>0</v>
          </cell>
          <cell r="AE522">
            <v>0</v>
          </cell>
          <cell r="AF522">
            <v>0</v>
          </cell>
        </row>
        <row r="523">
          <cell r="A523">
            <v>1700076</v>
          </cell>
          <cell r="B523" t="str">
            <v>1700076</v>
          </cell>
          <cell r="G523" t="str">
            <v>CONVERTER</v>
          </cell>
          <cell r="H523">
            <v>0</v>
          </cell>
          <cell r="K523">
            <v>0</v>
          </cell>
          <cell r="L523">
            <v>0</v>
          </cell>
          <cell r="M523">
            <v>0</v>
          </cell>
          <cell r="N523">
            <v>0</v>
          </cell>
          <cell r="O523">
            <v>0</v>
          </cell>
          <cell r="P523">
            <v>0</v>
          </cell>
          <cell r="Q523">
            <v>0</v>
          </cell>
          <cell r="R523">
            <v>0</v>
          </cell>
          <cell r="S523">
            <v>0</v>
          </cell>
          <cell r="T523">
            <v>0</v>
          </cell>
          <cell r="U523">
            <v>0</v>
          </cell>
          <cell r="V523">
            <v>-2522.62</v>
          </cell>
          <cell r="W523">
            <v>0</v>
          </cell>
          <cell r="X523">
            <v>0</v>
          </cell>
          <cell r="Y523">
            <v>0</v>
          </cell>
          <cell r="Z523">
            <v>0</v>
          </cell>
          <cell r="AA523">
            <v>0</v>
          </cell>
          <cell r="AB523">
            <v>31823.99</v>
          </cell>
          <cell r="AC523">
            <v>0</v>
          </cell>
          <cell r="AD523">
            <v>0</v>
          </cell>
          <cell r="AE523">
            <v>0</v>
          </cell>
          <cell r="AF523">
            <v>0</v>
          </cell>
        </row>
        <row r="524">
          <cell r="A524">
            <v>1700076</v>
          </cell>
          <cell r="H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31823.99</v>
          </cell>
          <cell r="AC524">
            <v>0</v>
          </cell>
          <cell r="AD524">
            <v>0</v>
          </cell>
          <cell r="AE524">
            <v>0</v>
          </cell>
          <cell r="AF524">
            <v>0</v>
          </cell>
        </row>
        <row r="525">
          <cell r="A525">
            <v>1700077</v>
          </cell>
          <cell r="B525" t="str">
            <v>1700077</v>
          </cell>
          <cell r="G525" t="str">
            <v>CISCO ROUTER</v>
          </cell>
          <cell r="H525">
            <v>0</v>
          </cell>
          <cell r="K525">
            <v>0</v>
          </cell>
          <cell r="L525">
            <v>0</v>
          </cell>
          <cell r="M525">
            <v>0</v>
          </cell>
          <cell r="N525">
            <v>0</v>
          </cell>
          <cell r="O525">
            <v>0</v>
          </cell>
          <cell r="P525">
            <v>0</v>
          </cell>
          <cell r="Q525">
            <v>0</v>
          </cell>
          <cell r="R525">
            <v>0</v>
          </cell>
          <cell r="S525">
            <v>0</v>
          </cell>
          <cell r="T525">
            <v>0</v>
          </cell>
          <cell r="U525">
            <v>0</v>
          </cell>
          <cell r="V525">
            <v>-3826.43</v>
          </cell>
          <cell r="W525">
            <v>0</v>
          </cell>
          <cell r="X525">
            <v>0</v>
          </cell>
          <cell r="Y525">
            <v>0</v>
          </cell>
          <cell r="Z525">
            <v>0</v>
          </cell>
          <cell r="AA525">
            <v>0</v>
          </cell>
          <cell r="AB525">
            <v>47139</v>
          </cell>
          <cell r="AC525">
            <v>0</v>
          </cell>
          <cell r="AD525">
            <v>0</v>
          </cell>
          <cell r="AE525">
            <v>0</v>
          </cell>
          <cell r="AF525">
            <v>0</v>
          </cell>
        </row>
        <row r="526">
          <cell r="A526">
            <v>1700077</v>
          </cell>
          <cell r="H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47139</v>
          </cell>
          <cell r="AC526">
            <v>0</v>
          </cell>
          <cell r="AD526">
            <v>0</v>
          </cell>
          <cell r="AE526">
            <v>0</v>
          </cell>
          <cell r="AF526">
            <v>0</v>
          </cell>
        </row>
        <row r="527">
          <cell r="A527">
            <v>1700078</v>
          </cell>
          <cell r="B527" t="str">
            <v>1700078</v>
          </cell>
          <cell r="G527" t="str">
            <v>WAN INTERFACE CARD</v>
          </cell>
          <cell r="H527">
            <v>0</v>
          </cell>
          <cell r="K527">
            <v>0</v>
          </cell>
          <cell r="L527">
            <v>0</v>
          </cell>
          <cell r="M527">
            <v>0</v>
          </cell>
          <cell r="N527">
            <v>0</v>
          </cell>
          <cell r="O527">
            <v>0</v>
          </cell>
          <cell r="P527">
            <v>0</v>
          </cell>
          <cell r="Q527">
            <v>0</v>
          </cell>
          <cell r="R527">
            <v>0</v>
          </cell>
          <cell r="S527">
            <v>0</v>
          </cell>
          <cell r="T527">
            <v>0</v>
          </cell>
          <cell r="U527">
            <v>0</v>
          </cell>
          <cell r="V527">
            <v>-3859.8</v>
          </cell>
          <cell r="W527">
            <v>0</v>
          </cell>
          <cell r="X527">
            <v>0</v>
          </cell>
          <cell r="Y527">
            <v>0</v>
          </cell>
          <cell r="Z527">
            <v>0</v>
          </cell>
          <cell r="AA527">
            <v>0</v>
          </cell>
          <cell r="AB527">
            <v>47550</v>
          </cell>
          <cell r="AC527">
            <v>0</v>
          </cell>
          <cell r="AD527">
            <v>0</v>
          </cell>
          <cell r="AE527">
            <v>0</v>
          </cell>
          <cell r="AF527">
            <v>0</v>
          </cell>
        </row>
        <row r="528">
          <cell r="A528">
            <v>1700078</v>
          </cell>
          <cell r="H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47550</v>
          </cell>
          <cell r="AC528">
            <v>0</v>
          </cell>
          <cell r="AD528">
            <v>0</v>
          </cell>
          <cell r="AE528">
            <v>0</v>
          </cell>
          <cell r="AF528">
            <v>0</v>
          </cell>
        </row>
        <row r="529">
          <cell r="A529">
            <v>1700079</v>
          </cell>
          <cell r="B529" t="str">
            <v>1700079</v>
          </cell>
          <cell r="G529" t="str">
            <v>CISCO 24 PORT SWITCH2960-24TTL</v>
          </cell>
          <cell r="H529">
            <v>0</v>
          </cell>
          <cell r="K529">
            <v>0</v>
          </cell>
          <cell r="L529">
            <v>0</v>
          </cell>
          <cell r="M529">
            <v>0</v>
          </cell>
          <cell r="N529">
            <v>0</v>
          </cell>
          <cell r="O529">
            <v>0</v>
          </cell>
          <cell r="P529">
            <v>0</v>
          </cell>
          <cell r="Q529">
            <v>0</v>
          </cell>
          <cell r="R529">
            <v>0</v>
          </cell>
          <cell r="S529">
            <v>0</v>
          </cell>
          <cell r="T529">
            <v>0</v>
          </cell>
          <cell r="U529">
            <v>0</v>
          </cell>
          <cell r="V529">
            <v>-3515.7</v>
          </cell>
          <cell r="W529">
            <v>0</v>
          </cell>
          <cell r="X529">
            <v>0</v>
          </cell>
          <cell r="Y529">
            <v>0</v>
          </cell>
          <cell r="Z529">
            <v>0</v>
          </cell>
          <cell r="AA529">
            <v>0</v>
          </cell>
          <cell r="AB529">
            <v>43311</v>
          </cell>
          <cell r="AC529">
            <v>0</v>
          </cell>
          <cell r="AD529">
            <v>0</v>
          </cell>
          <cell r="AE529">
            <v>0</v>
          </cell>
          <cell r="AF529">
            <v>0</v>
          </cell>
        </row>
        <row r="530">
          <cell r="A530">
            <v>1700079</v>
          </cell>
          <cell r="H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43311</v>
          </cell>
          <cell r="AC530">
            <v>0</v>
          </cell>
          <cell r="AD530">
            <v>0</v>
          </cell>
          <cell r="AE530">
            <v>0</v>
          </cell>
          <cell r="AF530">
            <v>0</v>
          </cell>
        </row>
        <row r="531">
          <cell r="A531">
            <v>1700080</v>
          </cell>
          <cell r="B531" t="str">
            <v>1700080</v>
          </cell>
          <cell r="G531" t="str">
            <v>RADIO MODAM</v>
          </cell>
          <cell r="H531">
            <v>0</v>
          </cell>
          <cell r="K531">
            <v>0</v>
          </cell>
          <cell r="L531">
            <v>0</v>
          </cell>
          <cell r="M531">
            <v>0</v>
          </cell>
          <cell r="N531">
            <v>0</v>
          </cell>
          <cell r="O531">
            <v>0</v>
          </cell>
          <cell r="P531">
            <v>0</v>
          </cell>
          <cell r="Q531">
            <v>0</v>
          </cell>
          <cell r="R531">
            <v>0</v>
          </cell>
          <cell r="S531">
            <v>0</v>
          </cell>
          <cell r="T531">
            <v>0</v>
          </cell>
          <cell r="U531">
            <v>0</v>
          </cell>
          <cell r="V531">
            <v>-731.7</v>
          </cell>
          <cell r="W531">
            <v>0</v>
          </cell>
          <cell r="X531">
            <v>0</v>
          </cell>
          <cell r="Y531">
            <v>0</v>
          </cell>
          <cell r="Z531">
            <v>0</v>
          </cell>
          <cell r="AA531">
            <v>0</v>
          </cell>
          <cell r="AB531">
            <v>15000</v>
          </cell>
          <cell r="AC531">
            <v>0</v>
          </cell>
          <cell r="AD531">
            <v>0</v>
          </cell>
          <cell r="AE531">
            <v>0</v>
          </cell>
          <cell r="AF531">
            <v>0</v>
          </cell>
        </row>
        <row r="532">
          <cell r="A532">
            <v>1700080</v>
          </cell>
          <cell r="H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15000</v>
          </cell>
          <cell r="AC532">
            <v>0</v>
          </cell>
          <cell r="AD532">
            <v>0</v>
          </cell>
          <cell r="AE532">
            <v>0</v>
          </cell>
          <cell r="AF532">
            <v>0</v>
          </cell>
        </row>
        <row r="533">
          <cell r="A533">
            <v>1700081</v>
          </cell>
          <cell r="B533" t="str">
            <v>1700081</v>
          </cell>
          <cell r="G533" t="str">
            <v>POWER AMPLIFIRE</v>
          </cell>
          <cell r="H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15600</v>
          </cell>
          <cell r="AC533">
            <v>0</v>
          </cell>
          <cell r="AD533">
            <v>0</v>
          </cell>
          <cell r="AE533">
            <v>0</v>
          </cell>
          <cell r="AF533">
            <v>0</v>
          </cell>
        </row>
        <row r="534">
          <cell r="A534">
            <v>1700081</v>
          </cell>
          <cell r="H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15600</v>
          </cell>
          <cell r="AC534">
            <v>0</v>
          </cell>
          <cell r="AD534">
            <v>0</v>
          </cell>
          <cell r="AE534">
            <v>0</v>
          </cell>
          <cell r="AF534">
            <v>0</v>
          </cell>
        </row>
        <row r="535">
          <cell r="A535">
            <v>1700082</v>
          </cell>
          <cell r="B535" t="str">
            <v>1700082</v>
          </cell>
          <cell r="G535" t="str">
            <v>Ethernet Converter</v>
          </cell>
          <cell r="H535">
            <v>0</v>
          </cell>
          <cell r="K535">
            <v>0</v>
          </cell>
          <cell r="L535">
            <v>0</v>
          </cell>
          <cell r="M535">
            <v>0</v>
          </cell>
          <cell r="N535">
            <v>0</v>
          </cell>
          <cell r="O535">
            <v>0</v>
          </cell>
          <cell r="P535">
            <v>0</v>
          </cell>
          <cell r="Q535">
            <v>0</v>
          </cell>
          <cell r="R535">
            <v>0</v>
          </cell>
          <cell r="S535">
            <v>0</v>
          </cell>
          <cell r="T535">
            <v>0</v>
          </cell>
          <cell r="U535">
            <v>0</v>
          </cell>
          <cell r="V535">
            <v>-3018.28</v>
          </cell>
          <cell r="W535">
            <v>0</v>
          </cell>
          <cell r="X535">
            <v>0</v>
          </cell>
          <cell r="Y535">
            <v>0</v>
          </cell>
          <cell r="Z535">
            <v>0</v>
          </cell>
          <cell r="AA535">
            <v>0</v>
          </cell>
          <cell r="AB535">
            <v>60000</v>
          </cell>
          <cell r="AC535">
            <v>0</v>
          </cell>
          <cell r="AD535">
            <v>0</v>
          </cell>
          <cell r="AE535">
            <v>0</v>
          </cell>
          <cell r="AF535">
            <v>0</v>
          </cell>
        </row>
        <row r="536">
          <cell r="A536">
            <v>1700082</v>
          </cell>
          <cell r="H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60000</v>
          </cell>
          <cell r="AC536">
            <v>0</v>
          </cell>
          <cell r="AD536">
            <v>0</v>
          </cell>
          <cell r="AE536">
            <v>0</v>
          </cell>
          <cell r="AF536">
            <v>0</v>
          </cell>
        </row>
        <row r="537">
          <cell r="A537">
            <v>1700083</v>
          </cell>
          <cell r="B537" t="str">
            <v>1700083</v>
          </cell>
          <cell r="G537" t="str">
            <v>UPS - 2KVA  Gandhidham Pop</v>
          </cell>
          <cell r="H537">
            <v>0</v>
          </cell>
          <cell r="K537">
            <v>0</v>
          </cell>
          <cell r="L537">
            <v>0</v>
          </cell>
          <cell r="M537">
            <v>0</v>
          </cell>
          <cell r="N537">
            <v>0</v>
          </cell>
          <cell r="O537">
            <v>0</v>
          </cell>
          <cell r="P537">
            <v>0</v>
          </cell>
          <cell r="Q537">
            <v>0</v>
          </cell>
          <cell r="R537">
            <v>0</v>
          </cell>
          <cell r="S537">
            <v>0</v>
          </cell>
          <cell r="T537">
            <v>0</v>
          </cell>
          <cell r="U537">
            <v>0</v>
          </cell>
          <cell r="V537">
            <v>-3591.48</v>
          </cell>
          <cell r="W537">
            <v>0</v>
          </cell>
          <cell r="X537">
            <v>0</v>
          </cell>
          <cell r="Y537">
            <v>0</v>
          </cell>
          <cell r="Z537">
            <v>0</v>
          </cell>
          <cell r="AA537">
            <v>0</v>
          </cell>
          <cell r="AB537">
            <v>77885</v>
          </cell>
          <cell r="AC537">
            <v>0</v>
          </cell>
          <cell r="AD537">
            <v>0</v>
          </cell>
          <cell r="AE537">
            <v>0</v>
          </cell>
          <cell r="AF537">
            <v>0</v>
          </cell>
        </row>
        <row r="538">
          <cell r="A538">
            <v>1700083</v>
          </cell>
          <cell r="H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77885</v>
          </cell>
          <cell r="AC538">
            <v>0</v>
          </cell>
          <cell r="AD538">
            <v>0</v>
          </cell>
          <cell r="AE538">
            <v>0</v>
          </cell>
          <cell r="AF538">
            <v>0</v>
          </cell>
        </row>
        <row r="539">
          <cell r="A539">
            <v>1700084</v>
          </cell>
          <cell r="B539" t="str">
            <v>1700084</v>
          </cell>
          <cell r="G539" t="str">
            <v>Ethernet Converter</v>
          </cell>
          <cell r="H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121160</v>
          </cell>
          <cell r="AC539">
            <v>0</v>
          </cell>
          <cell r="AD539">
            <v>0</v>
          </cell>
          <cell r="AE539">
            <v>0</v>
          </cell>
          <cell r="AF539">
            <v>0</v>
          </cell>
        </row>
        <row r="540">
          <cell r="A540">
            <v>1700084</v>
          </cell>
          <cell r="H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121160</v>
          </cell>
          <cell r="AC540">
            <v>0</v>
          </cell>
          <cell r="AD540">
            <v>0</v>
          </cell>
          <cell r="AE540">
            <v>0</v>
          </cell>
          <cell r="AF540">
            <v>0</v>
          </cell>
        </row>
        <row r="541">
          <cell r="A541">
            <v>1700085</v>
          </cell>
          <cell r="B541" t="str">
            <v>1700085</v>
          </cell>
          <cell r="G541" t="str">
            <v>Cisco Router - 2801</v>
          </cell>
          <cell r="H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75920</v>
          </cell>
          <cell r="AC541">
            <v>0</v>
          </cell>
          <cell r="AD541">
            <v>0</v>
          </cell>
          <cell r="AE541">
            <v>0</v>
          </cell>
          <cell r="AF541">
            <v>0</v>
          </cell>
        </row>
        <row r="542">
          <cell r="A542">
            <v>1700085</v>
          </cell>
          <cell r="H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75920</v>
          </cell>
          <cell r="AC542">
            <v>0</v>
          </cell>
          <cell r="AD542">
            <v>0</v>
          </cell>
          <cell r="AE542">
            <v>0</v>
          </cell>
          <cell r="AF542">
            <v>0</v>
          </cell>
        </row>
        <row r="543">
          <cell r="A543">
            <v>1700086</v>
          </cell>
          <cell r="B543" t="str">
            <v>1700086</v>
          </cell>
          <cell r="G543" t="str">
            <v>WIC 2 T Card</v>
          </cell>
          <cell r="H543">
            <v>0</v>
          </cell>
          <cell r="K543">
            <v>0</v>
          </cell>
          <cell r="L543">
            <v>0</v>
          </cell>
          <cell r="M543">
            <v>0</v>
          </cell>
          <cell r="N543">
            <v>0</v>
          </cell>
          <cell r="O543">
            <v>0</v>
          </cell>
          <cell r="P543">
            <v>0</v>
          </cell>
          <cell r="Q543">
            <v>0</v>
          </cell>
          <cell r="R543">
            <v>0</v>
          </cell>
          <cell r="S543">
            <v>0</v>
          </cell>
          <cell r="T543">
            <v>0</v>
          </cell>
          <cell r="U543">
            <v>0</v>
          </cell>
          <cell r="V543">
            <v>-222.78</v>
          </cell>
          <cell r="W543">
            <v>0</v>
          </cell>
          <cell r="X543">
            <v>0</v>
          </cell>
          <cell r="Y543">
            <v>0</v>
          </cell>
          <cell r="Z543">
            <v>0</v>
          </cell>
          <cell r="AA543">
            <v>0</v>
          </cell>
          <cell r="AB543">
            <v>26572</v>
          </cell>
          <cell r="AC543">
            <v>0</v>
          </cell>
          <cell r="AD543">
            <v>0</v>
          </cell>
          <cell r="AE543">
            <v>0</v>
          </cell>
          <cell r="AF543">
            <v>0</v>
          </cell>
        </row>
        <row r="544">
          <cell r="A544">
            <v>1700086</v>
          </cell>
          <cell r="H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26572</v>
          </cell>
          <cell r="AC544">
            <v>0</v>
          </cell>
          <cell r="AD544">
            <v>0</v>
          </cell>
          <cell r="AE544">
            <v>0</v>
          </cell>
          <cell r="AF544">
            <v>0</v>
          </cell>
        </row>
        <row r="545">
          <cell r="A545">
            <v>1700087</v>
          </cell>
          <cell r="B545" t="str">
            <v>1700087</v>
          </cell>
          <cell r="G545" t="str">
            <v>Rack -42U</v>
          </cell>
          <cell r="H545">
            <v>0</v>
          </cell>
          <cell r="K545">
            <v>0</v>
          </cell>
          <cell r="L545">
            <v>0</v>
          </cell>
          <cell r="M545">
            <v>0</v>
          </cell>
          <cell r="N545">
            <v>0</v>
          </cell>
          <cell r="O545">
            <v>0</v>
          </cell>
          <cell r="P545">
            <v>0</v>
          </cell>
          <cell r="Q545">
            <v>0</v>
          </cell>
          <cell r="R545">
            <v>0</v>
          </cell>
          <cell r="S545">
            <v>0</v>
          </cell>
          <cell r="T545">
            <v>0</v>
          </cell>
          <cell r="U545">
            <v>0</v>
          </cell>
          <cell r="V545">
            <v>-222.78</v>
          </cell>
          <cell r="W545">
            <v>0</v>
          </cell>
          <cell r="X545">
            <v>0</v>
          </cell>
          <cell r="Y545">
            <v>0</v>
          </cell>
          <cell r="Z545">
            <v>0</v>
          </cell>
          <cell r="AA545">
            <v>0</v>
          </cell>
          <cell r="AB545">
            <v>26572</v>
          </cell>
          <cell r="AC545">
            <v>0</v>
          </cell>
          <cell r="AD545">
            <v>0</v>
          </cell>
          <cell r="AE545">
            <v>0</v>
          </cell>
          <cell r="AF545">
            <v>0</v>
          </cell>
        </row>
        <row r="546">
          <cell r="A546">
            <v>1700087</v>
          </cell>
          <cell r="H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26572</v>
          </cell>
          <cell r="AC546">
            <v>0</v>
          </cell>
          <cell r="AD546">
            <v>0</v>
          </cell>
          <cell r="AE546">
            <v>0</v>
          </cell>
          <cell r="AF546">
            <v>0</v>
          </cell>
        </row>
        <row r="547">
          <cell r="A547">
            <v>1700088</v>
          </cell>
          <cell r="B547" t="str">
            <v>1700088</v>
          </cell>
          <cell r="G547" t="str">
            <v>Radio Modem -Senao</v>
          </cell>
        </row>
        <row r="548">
          <cell r="A548">
            <v>1700089</v>
          </cell>
          <cell r="B548" t="str">
            <v>1700089</v>
          </cell>
          <cell r="G548" t="str">
            <v>Radio Modem -Senao</v>
          </cell>
        </row>
        <row r="549">
          <cell r="A549">
            <v>1700090</v>
          </cell>
          <cell r="B549" t="str">
            <v>1700090</v>
          </cell>
          <cell r="G549" t="str">
            <v>Radio Modem - NDC 6110</v>
          </cell>
          <cell r="H549">
            <v>0</v>
          </cell>
          <cell r="K549">
            <v>0</v>
          </cell>
          <cell r="L549">
            <v>0</v>
          </cell>
          <cell r="M549">
            <v>0</v>
          </cell>
          <cell r="N549">
            <v>0</v>
          </cell>
          <cell r="O549">
            <v>0</v>
          </cell>
          <cell r="P549">
            <v>0</v>
          </cell>
          <cell r="Q549">
            <v>0</v>
          </cell>
          <cell r="R549">
            <v>0</v>
          </cell>
          <cell r="S549">
            <v>0</v>
          </cell>
          <cell r="T549">
            <v>0</v>
          </cell>
          <cell r="U549">
            <v>0</v>
          </cell>
          <cell r="V549">
            <v>-2510.81</v>
          </cell>
          <cell r="W549">
            <v>0</v>
          </cell>
          <cell r="X549">
            <v>0</v>
          </cell>
          <cell r="Y549">
            <v>0</v>
          </cell>
          <cell r="Z549">
            <v>0</v>
          </cell>
          <cell r="AA549">
            <v>0</v>
          </cell>
          <cell r="AB549">
            <v>18200</v>
          </cell>
          <cell r="AC549">
            <v>0</v>
          </cell>
          <cell r="AD549">
            <v>0</v>
          </cell>
          <cell r="AE549">
            <v>0</v>
          </cell>
          <cell r="AF549">
            <v>0</v>
          </cell>
        </row>
        <row r="550">
          <cell r="A550">
            <v>1700090</v>
          </cell>
          <cell r="H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18200</v>
          </cell>
          <cell r="AC550">
            <v>0</v>
          </cell>
          <cell r="AD550">
            <v>0</v>
          </cell>
          <cell r="AE550">
            <v>0</v>
          </cell>
          <cell r="AF550">
            <v>0</v>
          </cell>
        </row>
        <row r="551">
          <cell r="A551">
            <v>1700091</v>
          </cell>
          <cell r="B551" t="str">
            <v>1700091</v>
          </cell>
          <cell r="G551" t="str">
            <v>Radio Modem - NDC 6110</v>
          </cell>
          <cell r="H551">
            <v>0</v>
          </cell>
          <cell r="K551">
            <v>0</v>
          </cell>
          <cell r="L551">
            <v>0</v>
          </cell>
          <cell r="M551">
            <v>0</v>
          </cell>
          <cell r="N551">
            <v>0</v>
          </cell>
          <cell r="O551">
            <v>0</v>
          </cell>
          <cell r="P551">
            <v>0</v>
          </cell>
          <cell r="Q551">
            <v>0</v>
          </cell>
          <cell r="R551">
            <v>0</v>
          </cell>
          <cell r="S551">
            <v>0</v>
          </cell>
          <cell r="T551">
            <v>0</v>
          </cell>
          <cell r="U551">
            <v>0</v>
          </cell>
          <cell r="V551">
            <v>-2510.81</v>
          </cell>
          <cell r="W551">
            <v>0</v>
          </cell>
          <cell r="X551">
            <v>0</v>
          </cell>
          <cell r="Y551">
            <v>0</v>
          </cell>
          <cell r="Z551">
            <v>0</v>
          </cell>
          <cell r="AA551">
            <v>0</v>
          </cell>
          <cell r="AB551">
            <v>18200</v>
          </cell>
          <cell r="AC551">
            <v>0</v>
          </cell>
          <cell r="AD551">
            <v>0</v>
          </cell>
          <cell r="AE551">
            <v>0</v>
          </cell>
          <cell r="AF551">
            <v>0</v>
          </cell>
        </row>
        <row r="552">
          <cell r="A552">
            <v>1700091</v>
          </cell>
          <cell r="H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18200</v>
          </cell>
          <cell r="AC552">
            <v>0</v>
          </cell>
          <cell r="AD552">
            <v>0</v>
          </cell>
          <cell r="AE552">
            <v>0</v>
          </cell>
          <cell r="AF552">
            <v>0</v>
          </cell>
        </row>
        <row r="553">
          <cell r="A553">
            <v>1800000</v>
          </cell>
          <cell r="B553" t="str">
            <v>1800000</v>
          </cell>
          <cell r="G553" t="str">
            <v>DVD WRITER</v>
          </cell>
          <cell r="H553">
            <v>10850</v>
          </cell>
          <cell r="K553">
            <v>0</v>
          </cell>
          <cell r="L553">
            <v>0</v>
          </cell>
          <cell r="M553">
            <v>-3162.85</v>
          </cell>
          <cell r="N553">
            <v>0</v>
          </cell>
          <cell r="O553">
            <v>0</v>
          </cell>
          <cell r="P553">
            <v>0</v>
          </cell>
          <cell r="Q553">
            <v>0</v>
          </cell>
          <cell r="R553">
            <v>0</v>
          </cell>
          <cell r="S553">
            <v>0</v>
          </cell>
          <cell r="T553">
            <v>0</v>
          </cell>
          <cell r="U553">
            <v>0</v>
          </cell>
          <cell r="V553">
            <v>-3074.86</v>
          </cell>
          <cell r="W553">
            <v>0</v>
          </cell>
          <cell r="X553">
            <v>0</v>
          </cell>
          <cell r="Y553">
            <v>0</v>
          </cell>
          <cell r="Z553">
            <v>0</v>
          </cell>
          <cell r="AA553">
            <v>0</v>
          </cell>
          <cell r="AB553">
            <v>0</v>
          </cell>
          <cell r="AC553">
            <v>0</v>
          </cell>
          <cell r="AD553">
            <v>0</v>
          </cell>
          <cell r="AE553">
            <v>0</v>
          </cell>
          <cell r="AF553">
            <v>0</v>
          </cell>
        </row>
        <row r="554">
          <cell r="A554">
            <v>1800000</v>
          </cell>
          <cell r="H554">
            <v>10850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row>
        <row r="555">
          <cell r="A555">
            <v>1800000</v>
          </cell>
          <cell r="H555">
            <v>10850</v>
          </cell>
          <cell r="K555">
            <v>0</v>
          </cell>
          <cell r="L555">
            <v>0</v>
          </cell>
          <cell r="M555">
            <v>-6237.71</v>
          </cell>
          <cell r="N555">
            <v>0</v>
          </cell>
          <cell r="O555">
            <v>0</v>
          </cell>
          <cell r="P555">
            <v>0</v>
          </cell>
          <cell r="Q555">
            <v>0</v>
          </cell>
          <cell r="R555">
            <v>0</v>
          </cell>
          <cell r="S555">
            <v>0</v>
          </cell>
          <cell r="T555">
            <v>0</v>
          </cell>
          <cell r="U555">
            <v>0</v>
          </cell>
          <cell r="V555">
            <v>-1844.92</v>
          </cell>
          <cell r="W555">
            <v>0</v>
          </cell>
          <cell r="X555">
            <v>0</v>
          </cell>
          <cell r="Y555">
            <v>0</v>
          </cell>
          <cell r="Z555">
            <v>0</v>
          </cell>
          <cell r="AA555">
            <v>0</v>
          </cell>
          <cell r="AB555">
            <v>0</v>
          </cell>
          <cell r="AC555">
            <v>0</v>
          </cell>
          <cell r="AD555">
            <v>0</v>
          </cell>
          <cell r="AE555">
            <v>0</v>
          </cell>
          <cell r="AF555">
            <v>0</v>
          </cell>
        </row>
        <row r="556">
          <cell r="A556">
            <v>1800000</v>
          </cell>
          <cell r="H556">
            <v>10850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row>
        <row r="557">
          <cell r="A557">
            <v>1800001</v>
          </cell>
          <cell r="B557" t="str">
            <v>1800001</v>
          </cell>
          <cell r="G557" t="str">
            <v>PRINTER</v>
          </cell>
          <cell r="H557">
            <v>9700</v>
          </cell>
          <cell r="K557">
            <v>0</v>
          </cell>
          <cell r="L557">
            <v>0</v>
          </cell>
          <cell r="M557">
            <v>-2763.84</v>
          </cell>
          <cell r="N557">
            <v>0</v>
          </cell>
          <cell r="O557">
            <v>0</v>
          </cell>
          <cell r="P557">
            <v>0</v>
          </cell>
          <cell r="Q557">
            <v>0</v>
          </cell>
          <cell r="R557">
            <v>0</v>
          </cell>
          <cell r="S557">
            <v>0</v>
          </cell>
          <cell r="T557">
            <v>0</v>
          </cell>
          <cell r="U557">
            <v>0</v>
          </cell>
          <cell r="V557">
            <v>-2774.46</v>
          </cell>
          <cell r="W557">
            <v>0</v>
          </cell>
          <cell r="X557">
            <v>0</v>
          </cell>
          <cell r="Y557">
            <v>0</v>
          </cell>
          <cell r="Z557">
            <v>0</v>
          </cell>
          <cell r="AA557">
            <v>0</v>
          </cell>
          <cell r="AB557">
            <v>0</v>
          </cell>
          <cell r="AC557">
            <v>0</v>
          </cell>
          <cell r="AD557">
            <v>0</v>
          </cell>
          <cell r="AE557">
            <v>0</v>
          </cell>
          <cell r="AF557">
            <v>0</v>
          </cell>
        </row>
        <row r="558">
          <cell r="A558">
            <v>1800001</v>
          </cell>
          <cell r="H558">
            <v>9700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row>
        <row r="559">
          <cell r="A559">
            <v>1800001</v>
          </cell>
          <cell r="H559">
            <v>9700</v>
          </cell>
          <cell r="K559">
            <v>0</v>
          </cell>
          <cell r="L559">
            <v>0</v>
          </cell>
          <cell r="M559">
            <v>-5538.3</v>
          </cell>
          <cell r="N559">
            <v>0</v>
          </cell>
          <cell r="O559">
            <v>0</v>
          </cell>
          <cell r="P559">
            <v>0</v>
          </cell>
          <cell r="Q559">
            <v>0</v>
          </cell>
          <cell r="R559">
            <v>0</v>
          </cell>
          <cell r="S559">
            <v>0</v>
          </cell>
          <cell r="T559">
            <v>0</v>
          </cell>
          <cell r="U559">
            <v>0</v>
          </cell>
          <cell r="V559">
            <v>-1664.68</v>
          </cell>
          <cell r="W559">
            <v>0</v>
          </cell>
          <cell r="X559">
            <v>0</v>
          </cell>
          <cell r="Y559">
            <v>0</v>
          </cell>
          <cell r="Z559">
            <v>0</v>
          </cell>
          <cell r="AA559">
            <v>0</v>
          </cell>
          <cell r="AB559">
            <v>0</v>
          </cell>
          <cell r="AC559">
            <v>0</v>
          </cell>
          <cell r="AD559">
            <v>0</v>
          </cell>
          <cell r="AE559">
            <v>0</v>
          </cell>
          <cell r="AF559">
            <v>0</v>
          </cell>
        </row>
        <row r="560">
          <cell r="A560">
            <v>1800001</v>
          </cell>
          <cell r="H560">
            <v>9700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row>
        <row r="561">
          <cell r="A561">
            <v>1800002</v>
          </cell>
          <cell r="B561" t="str">
            <v>1800002</v>
          </cell>
          <cell r="G561" t="str">
            <v>SD RAM</v>
          </cell>
          <cell r="H561">
            <v>7900</v>
          </cell>
          <cell r="K561">
            <v>0</v>
          </cell>
          <cell r="L561">
            <v>0</v>
          </cell>
          <cell r="M561">
            <v>-2173.04</v>
          </cell>
          <cell r="N561">
            <v>0</v>
          </cell>
          <cell r="O561">
            <v>0</v>
          </cell>
          <cell r="P561">
            <v>0</v>
          </cell>
          <cell r="Q561">
            <v>0</v>
          </cell>
          <cell r="R561">
            <v>0</v>
          </cell>
          <cell r="S561">
            <v>0</v>
          </cell>
          <cell r="T561">
            <v>0</v>
          </cell>
          <cell r="U561">
            <v>0</v>
          </cell>
          <cell r="V561">
            <v>-2290.7800000000002</v>
          </cell>
          <cell r="W561">
            <v>0</v>
          </cell>
          <cell r="X561">
            <v>0</v>
          </cell>
          <cell r="Y561">
            <v>0</v>
          </cell>
          <cell r="Z561">
            <v>0</v>
          </cell>
          <cell r="AA561">
            <v>0</v>
          </cell>
          <cell r="AB561">
            <v>0</v>
          </cell>
          <cell r="AC561">
            <v>0</v>
          </cell>
          <cell r="AD561">
            <v>0</v>
          </cell>
          <cell r="AE561">
            <v>0</v>
          </cell>
          <cell r="AF561">
            <v>0</v>
          </cell>
        </row>
        <row r="562">
          <cell r="A562">
            <v>1800002</v>
          </cell>
          <cell r="H562">
            <v>7900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row>
        <row r="563">
          <cell r="A563">
            <v>1800002</v>
          </cell>
          <cell r="H563">
            <v>7900</v>
          </cell>
          <cell r="K563">
            <v>0</v>
          </cell>
          <cell r="L563">
            <v>0</v>
          </cell>
          <cell r="M563">
            <v>-4463.82</v>
          </cell>
          <cell r="N563">
            <v>0</v>
          </cell>
          <cell r="O563">
            <v>0</v>
          </cell>
          <cell r="P563">
            <v>0</v>
          </cell>
          <cell r="Q563">
            <v>0</v>
          </cell>
          <cell r="R563">
            <v>0</v>
          </cell>
          <cell r="S563">
            <v>0</v>
          </cell>
          <cell r="T563">
            <v>0</v>
          </cell>
          <cell r="U563">
            <v>0</v>
          </cell>
          <cell r="V563">
            <v>-1374.47</v>
          </cell>
          <cell r="W563">
            <v>0</v>
          </cell>
          <cell r="X563">
            <v>0</v>
          </cell>
          <cell r="Y563">
            <v>0</v>
          </cell>
          <cell r="Z563">
            <v>0</v>
          </cell>
          <cell r="AA563">
            <v>0</v>
          </cell>
          <cell r="AB563">
            <v>0</v>
          </cell>
          <cell r="AC563">
            <v>0</v>
          </cell>
          <cell r="AD563">
            <v>0</v>
          </cell>
          <cell r="AE563">
            <v>0</v>
          </cell>
          <cell r="AF563">
            <v>0</v>
          </cell>
        </row>
        <row r="564">
          <cell r="A564">
            <v>1800002</v>
          </cell>
          <cell r="H564">
            <v>7900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row>
        <row r="565">
          <cell r="A565">
            <v>1800003</v>
          </cell>
          <cell r="B565" t="str">
            <v>1800003</v>
          </cell>
          <cell r="G565" t="str">
            <v>SCSI HDD</v>
          </cell>
          <cell r="H565">
            <v>19950</v>
          </cell>
          <cell r="K565">
            <v>0</v>
          </cell>
          <cell r="L565">
            <v>0</v>
          </cell>
          <cell r="M565">
            <v>-5487.62</v>
          </cell>
          <cell r="N565">
            <v>0</v>
          </cell>
          <cell r="O565">
            <v>0</v>
          </cell>
          <cell r="P565">
            <v>0</v>
          </cell>
          <cell r="Q565">
            <v>0</v>
          </cell>
          <cell r="R565">
            <v>0</v>
          </cell>
          <cell r="S565">
            <v>0</v>
          </cell>
          <cell r="T565">
            <v>0</v>
          </cell>
          <cell r="U565">
            <v>0</v>
          </cell>
          <cell r="V565">
            <v>-5784.95</v>
          </cell>
          <cell r="W565">
            <v>0</v>
          </cell>
          <cell r="X565">
            <v>0</v>
          </cell>
          <cell r="Y565">
            <v>0</v>
          </cell>
          <cell r="Z565">
            <v>0</v>
          </cell>
          <cell r="AA565">
            <v>0</v>
          </cell>
          <cell r="AB565">
            <v>0</v>
          </cell>
          <cell r="AC565">
            <v>0</v>
          </cell>
          <cell r="AD565">
            <v>0</v>
          </cell>
          <cell r="AE565">
            <v>0</v>
          </cell>
          <cell r="AF565">
            <v>0</v>
          </cell>
        </row>
        <row r="566">
          <cell r="A566">
            <v>1800003</v>
          </cell>
          <cell r="H566">
            <v>19950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row>
        <row r="567">
          <cell r="A567">
            <v>1800003</v>
          </cell>
          <cell r="H567">
            <v>19950</v>
          </cell>
          <cell r="K567">
            <v>0</v>
          </cell>
          <cell r="L567">
            <v>0</v>
          </cell>
          <cell r="M567">
            <v>-11272.57</v>
          </cell>
          <cell r="N567">
            <v>0</v>
          </cell>
          <cell r="O567">
            <v>0</v>
          </cell>
          <cell r="P567">
            <v>0</v>
          </cell>
          <cell r="Q567">
            <v>0</v>
          </cell>
          <cell r="R567">
            <v>0</v>
          </cell>
          <cell r="S567">
            <v>0</v>
          </cell>
          <cell r="T567">
            <v>0</v>
          </cell>
          <cell r="U567">
            <v>0</v>
          </cell>
          <cell r="V567">
            <v>-3470.97</v>
          </cell>
          <cell r="W567">
            <v>0</v>
          </cell>
          <cell r="X567">
            <v>0</v>
          </cell>
          <cell r="Y567">
            <v>0</v>
          </cell>
          <cell r="Z567">
            <v>0</v>
          </cell>
          <cell r="AA567">
            <v>0</v>
          </cell>
          <cell r="AB567">
            <v>0</v>
          </cell>
          <cell r="AC567">
            <v>0</v>
          </cell>
          <cell r="AD567">
            <v>0</v>
          </cell>
          <cell r="AE567">
            <v>0</v>
          </cell>
          <cell r="AF567">
            <v>0</v>
          </cell>
        </row>
        <row r="568">
          <cell r="A568">
            <v>1800003</v>
          </cell>
          <cell r="H568">
            <v>19950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row>
        <row r="569">
          <cell r="A569">
            <v>1800004</v>
          </cell>
          <cell r="B569" t="str">
            <v>1800004</v>
          </cell>
          <cell r="G569" t="str">
            <v>SEGATE HDD</v>
          </cell>
          <cell r="H569">
            <v>7450</v>
          </cell>
          <cell r="K569">
            <v>0</v>
          </cell>
          <cell r="L569">
            <v>0</v>
          </cell>
          <cell r="M569">
            <v>-1273.6400000000001</v>
          </cell>
          <cell r="N569">
            <v>0</v>
          </cell>
          <cell r="O569">
            <v>0</v>
          </cell>
          <cell r="P569">
            <v>0</v>
          </cell>
          <cell r="Q569">
            <v>0</v>
          </cell>
          <cell r="R569">
            <v>0</v>
          </cell>
          <cell r="S569">
            <v>0</v>
          </cell>
          <cell r="T569">
            <v>0</v>
          </cell>
          <cell r="U569">
            <v>0</v>
          </cell>
          <cell r="V569">
            <v>-2470.54</v>
          </cell>
          <cell r="W569">
            <v>0</v>
          </cell>
          <cell r="X569">
            <v>0</v>
          </cell>
          <cell r="Y569">
            <v>0</v>
          </cell>
          <cell r="Z569">
            <v>0</v>
          </cell>
          <cell r="AA569">
            <v>0</v>
          </cell>
          <cell r="AB569">
            <v>0</v>
          </cell>
          <cell r="AC569">
            <v>0</v>
          </cell>
          <cell r="AD569">
            <v>0</v>
          </cell>
          <cell r="AE569">
            <v>0</v>
          </cell>
          <cell r="AF569">
            <v>0</v>
          </cell>
        </row>
        <row r="570">
          <cell r="A570">
            <v>1800004</v>
          </cell>
          <cell r="H570">
            <v>7450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row>
        <row r="571">
          <cell r="A571">
            <v>1800004</v>
          </cell>
          <cell r="H571">
            <v>7450</v>
          </cell>
          <cell r="K571">
            <v>0</v>
          </cell>
          <cell r="L571">
            <v>0</v>
          </cell>
          <cell r="M571">
            <v>-3744.18</v>
          </cell>
          <cell r="N571">
            <v>0</v>
          </cell>
          <cell r="O571">
            <v>0</v>
          </cell>
          <cell r="P571">
            <v>0</v>
          </cell>
          <cell r="Q571">
            <v>0</v>
          </cell>
          <cell r="R571">
            <v>0</v>
          </cell>
          <cell r="S571">
            <v>0</v>
          </cell>
          <cell r="T571">
            <v>0</v>
          </cell>
          <cell r="U571">
            <v>0</v>
          </cell>
          <cell r="V571">
            <v>-1482.33</v>
          </cell>
          <cell r="W571">
            <v>0</v>
          </cell>
          <cell r="X571">
            <v>0</v>
          </cell>
          <cell r="Y571">
            <v>0</v>
          </cell>
          <cell r="Z571">
            <v>0</v>
          </cell>
          <cell r="AA571">
            <v>0</v>
          </cell>
          <cell r="AB571">
            <v>0</v>
          </cell>
          <cell r="AC571">
            <v>0</v>
          </cell>
          <cell r="AD571">
            <v>0</v>
          </cell>
          <cell r="AE571">
            <v>0</v>
          </cell>
          <cell r="AF571">
            <v>0</v>
          </cell>
        </row>
        <row r="572">
          <cell r="A572">
            <v>1800004</v>
          </cell>
          <cell r="H572">
            <v>7450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row>
        <row r="573">
          <cell r="A573">
            <v>1800005</v>
          </cell>
          <cell r="B573" t="str">
            <v>1800005</v>
          </cell>
          <cell r="G573" t="str">
            <v>SD RAM</v>
          </cell>
          <cell r="H573">
            <v>12200</v>
          </cell>
          <cell r="K573">
            <v>0</v>
          </cell>
          <cell r="L573">
            <v>0</v>
          </cell>
          <cell r="M573">
            <v>-2005.48</v>
          </cell>
          <cell r="N573">
            <v>0</v>
          </cell>
          <cell r="O573">
            <v>0</v>
          </cell>
          <cell r="P573">
            <v>0</v>
          </cell>
          <cell r="Q573">
            <v>0</v>
          </cell>
          <cell r="R573">
            <v>0</v>
          </cell>
          <cell r="S573">
            <v>0</v>
          </cell>
          <cell r="T573">
            <v>0</v>
          </cell>
          <cell r="U573">
            <v>0</v>
          </cell>
          <cell r="V573">
            <v>-4077.81</v>
          </cell>
          <cell r="W573">
            <v>0</v>
          </cell>
          <cell r="X573">
            <v>0</v>
          </cell>
          <cell r="Y573">
            <v>0</v>
          </cell>
          <cell r="Z573">
            <v>0</v>
          </cell>
          <cell r="AA573">
            <v>0</v>
          </cell>
          <cell r="AB573">
            <v>0</v>
          </cell>
          <cell r="AC573">
            <v>0</v>
          </cell>
          <cell r="AD573">
            <v>0</v>
          </cell>
          <cell r="AE573">
            <v>0</v>
          </cell>
          <cell r="AF573">
            <v>0</v>
          </cell>
        </row>
        <row r="574">
          <cell r="A574">
            <v>1800005</v>
          </cell>
          <cell r="H574">
            <v>12200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row>
        <row r="575">
          <cell r="A575">
            <v>1800005</v>
          </cell>
          <cell r="H575">
            <v>12200</v>
          </cell>
          <cell r="K575">
            <v>0</v>
          </cell>
          <cell r="L575">
            <v>0</v>
          </cell>
          <cell r="M575">
            <v>-6083.29</v>
          </cell>
          <cell r="N575">
            <v>0</v>
          </cell>
          <cell r="O575">
            <v>0</v>
          </cell>
          <cell r="P575">
            <v>0</v>
          </cell>
          <cell r="Q575">
            <v>0</v>
          </cell>
          <cell r="R575">
            <v>0</v>
          </cell>
          <cell r="S575">
            <v>0</v>
          </cell>
          <cell r="T575">
            <v>0</v>
          </cell>
          <cell r="U575">
            <v>0</v>
          </cell>
          <cell r="V575">
            <v>-2446.6799999999998</v>
          </cell>
          <cell r="W575">
            <v>0</v>
          </cell>
          <cell r="X575">
            <v>0</v>
          </cell>
          <cell r="Y575">
            <v>0</v>
          </cell>
          <cell r="Z575">
            <v>0</v>
          </cell>
          <cell r="AA575">
            <v>0</v>
          </cell>
          <cell r="AB575">
            <v>0</v>
          </cell>
          <cell r="AC575">
            <v>0</v>
          </cell>
          <cell r="AD575">
            <v>0</v>
          </cell>
          <cell r="AE575">
            <v>0</v>
          </cell>
          <cell r="AF575">
            <v>0</v>
          </cell>
        </row>
        <row r="576">
          <cell r="A576">
            <v>1800005</v>
          </cell>
          <cell r="H576">
            <v>12200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row>
        <row r="577">
          <cell r="A577">
            <v>1800006</v>
          </cell>
          <cell r="B577" t="str">
            <v>1800006</v>
          </cell>
          <cell r="G577" t="str">
            <v>SEGATE HDD</v>
          </cell>
          <cell r="H577">
            <v>5750</v>
          </cell>
          <cell r="K577">
            <v>0</v>
          </cell>
          <cell r="L577">
            <v>0</v>
          </cell>
          <cell r="M577">
            <v>-938.9</v>
          </cell>
          <cell r="N577">
            <v>0</v>
          </cell>
          <cell r="O577">
            <v>0</v>
          </cell>
          <cell r="P577">
            <v>0</v>
          </cell>
          <cell r="Q577">
            <v>0</v>
          </cell>
          <cell r="R577">
            <v>0</v>
          </cell>
          <cell r="S577">
            <v>0</v>
          </cell>
          <cell r="T577">
            <v>0</v>
          </cell>
          <cell r="U577">
            <v>0</v>
          </cell>
          <cell r="V577">
            <v>-1924.44</v>
          </cell>
          <cell r="W577">
            <v>0</v>
          </cell>
          <cell r="X577">
            <v>0</v>
          </cell>
          <cell r="Y577">
            <v>0</v>
          </cell>
          <cell r="Z577">
            <v>0</v>
          </cell>
          <cell r="AA577">
            <v>0</v>
          </cell>
          <cell r="AB577">
            <v>0</v>
          </cell>
          <cell r="AC577">
            <v>0</v>
          </cell>
          <cell r="AD577">
            <v>0</v>
          </cell>
          <cell r="AE577">
            <v>0</v>
          </cell>
          <cell r="AF577">
            <v>0</v>
          </cell>
        </row>
        <row r="578">
          <cell r="A578">
            <v>1800006</v>
          </cell>
          <cell r="H578">
            <v>5750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row>
        <row r="579">
          <cell r="A579">
            <v>1800006</v>
          </cell>
          <cell r="H579">
            <v>5750</v>
          </cell>
          <cell r="K579">
            <v>0</v>
          </cell>
          <cell r="L579">
            <v>0</v>
          </cell>
          <cell r="M579">
            <v>-2863.34</v>
          </cell>
          <cell r="N579">
            <v>0</v>
          </cell>
          <cell r="O579">
            <v>0</v>
          </cell>
          <cell r="P579">
            <v>0</v>
          </cell>
          <cell r="Q579">
            <v>0</v>
          </cell>
          <cell r="R579">
            <v>0</v>
          </cell>
          <cell r="S579">
            <v>0</v>
          </cell>
          <cell r="T579">
            <v>0</v>
          </cell>
          <cell r="U579">
            <v>0</v>
          </cell>
          <cell r="V579">
            <v>-1154.6600000000001</v>
          </cell>
          <cell r="W579">
            <v>0</v>
          </cell>
          <cell r="X579">
            <v>0</v>
          </cell>
          <cell r="Y579">
            <v>0</v>
          </cell>
          <cell r="Z579">
            <v>0</v>
          </cell>
          <cell r="AA579">
            <v>0</v>
          </cell>
          <cell r="AB579">
            <v>0</v>
          </cell>
          <cell r="AC579">
            <v>0</v>
          </cell>
          <cell r="AD579">
            <v>0</v>
          </cell>
          <cell r="AE579">
            <v>0</v>
          </cell>
          <cell r="AF579">
            <v>0</v>
          </cell>
        </row>
        <row r="580">
          <cell r="A580">
            <v>1800006</v>
          </cell>
          <cell r="H580">
            <v>5750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row>
        <row r="581">
          <cell r="A581">
            <v>1800007</v>
          </cell>
          <cell r="B581" t="str">
            <v>1800007</v>
          </cell>
          <cell r="G581" t="str">
            <v>USB STORAGE DEVISE</v>
          </cell>
          <cell r="H581">
            <v>7000</v>
          </cell>
          <cell r="K581">
            <v>0</v>
          </cell>
          <cell r="L581">
            <v>0</v>
          </cell>
          <cell r="M581">
            <v>-1020.27</v>
          </cell>
          <cell r="N581">
            <v>0</v>
          </cell>
          <cell r="O581">
            <v>0</v>
          </cell>
          <cell r="P581">
            <v>0</v>
          </cell>
          <cell r="Q581">
            <v>0</v>
          </cell>
          <cell r="R581">
            <v>0</v>
          </cell>
          <cell r="S581">
            <v>0</v>
          </cell>
          <cell r="T581">
            <v>0</v>
          </cell>
          <cell r="U581">
            <v>0</v>
          </cell>
          <cell r="V581">
            <v>-2391.89</v>
          </cell>
          <cell r="W581">
            <v>0</v>
          </cell>
          <cell r="X581">
            <v>0</v>
          </cell>
          <cell r="Y581">
            <v>0</v>
          </cell>
          <cell r="Z581">
            <v>0</v>
          </cell>
          <cell r="AA581">
            <v>0</v>
          </cell>
          <cell r="AB581">
            <v>0</v>
          </cell>
          <cell r="AC581">
            <v>0</v>
          </cell>
          <cell r="AD581">
            <v>0</v>
          </cell>
          <cell r="AE581">
            <v>0</v>
          </cell>
          <cell r="AF581">
            <v>0</v>
          </cell>
        </row>
        <row r="582">
          <cell r="A582">
            <v>1800007</v>
          </cell>
          <cell r="H582">
            <v>7000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row>
        <row r="583">
          <cell r="A583">
            <v>1800007</v>
          </cell>
          <cell r="H583">
            <v>7000</v>
          </cell>
          <cell r="K583">
            <v>0</v>
          </cell>
          <cell r="L583">
            <v>0</v>
          </cell>
          <cell r="M583">
            <v>-3412.16</v>
          </cell>
          <cell r="N583">
            <v>0</v>
          </cell>
          <cell r="O583">
            <v>0</v>
          </cell>
          <cell r="P583">
            <v>0</v>
          </cell>
          <cell r="Q583">
            <v>0</v>
          </cell>
          <cell r="R583">
            <v>0</v>
          </cell>
          <cell r="S583">
            <v>0</v>
          </cell>
          <cell r="T583">
            <v>0</v>
          </cell>
          <cell r="U583">
            <v>0</v>
          </cell>
          <cell r="V583">
            <v>-1435.14</v>
          </cell>
          <cell r="W583">
            <v>0</v>
          </cell>
          <cell r="X583">
            <v>0</v>
          </cell>
          <cell r="Y583">
            <v>0</v>
          </cell>
          <cell r="Z583">
            <v>0</v>
          </cell>
          <cell r="AA583">
            <v>0</v>
          </cell>
          <cell r="AB583">
            <v>0</v>
          </cell>
          <cell r="AC583">
            <v>0</v>
          </cell>
          <cell r="AD583">
            <v>0</v>
          </cell>
          <cell r="AE583">
            <v>0</v>
          </cell>
          <cell r="AF583">
            <v>0</v>
          </cell>
        </row>
        <row r="584">
          <cell r="A584">
            <v>1800007</v>
          </cell>
          <cell r="H584">
            <v>7000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row>
        <row r="585">
          <cell r="A585">
            <v>1800008</v>
          </cell>
          <cell r="B585" t="str">
            <v>1800008</v>
          </cell>
          <cell r="G585" t="str">
            <v>HARD DISK</v>
          </cell>
          <cell r="H585">
            <v>5900</v>
          </cell>
          <cell r="K585">
            <v>0</v>
          </cell>
          <cell r="L585">
            <v>0</v>
          </cell>
          <cell r="M585">
            <v>-407.34</v>
          </cell>
          <cell r="N585">
            <v>0</v>
          </cell>
          <cell r="O585">
            <v>0</v>
          </cell>
          <cell r="P585">
            <v>0</v>
          </cell>
          <cell r="Q585">
            <v>0</v>
          </cell>
          <cell r="R585">
            <v>0</v>
          </cell>
          <cell r="S585">
            <v>0</v>
          </cell>
          <cell r="T585">
            <v>0</v>
          </cell>
          <cell r="U585">
            <v>0</v>
          </cell>
          <cell r="V585">
            <v>-2197.06</v>
          </cell>
          <cell r="W585">
            <v>0</v>
          </cell>
          <cell r="X585">
            <v>0</v>
          </cell>
          <cell r="Y585">
            <v>0</v>
          </cell>
          <cell r="Z585">
            <v>0</v>
          </cell>
          <cell r="AA585">
            <v>0</v>
          </cell>
          <cell r="AB585">
            <v>0</v>
          </cell>
          <cell r="AC585">
            <v>0</v>
          </cell>
          <cell r="AD585">
            <v>0</v>
          </cell>
          <cell r="AE585">
            <v>0</v>
          </cell>
          <cell r="AF585">
            <v>0</v>
          </cell>
        </row>
        <row r="586">
          <cell r="A586">
            <v>1800008</v>
          </cell>
          <cell r="H586">
            <v>5900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row>
        <row r="587">
          <cell r="A587">
            <v>1800008</v>
          </cell>
          <cell r="H587">
            <v>5900</v>
          </cell>
          <cell r="K587">
            <v>0</v>
          </cell>
          <cell r="L587">
            <v>0</v>
          </cell>
          <cell r="M587">
            <v>-2604.4</v>
          </cell>
          <cell r="N587">
            <v>0</v>
          </cell>
          <cell r="O587">
            <v>0</v>
          </cell>
          <cell r="P587">
            <v>0</v>
          </cell>
          <cell r="Q587">
            <v>0</v>
          </cell>
          <cell r="R587">
            <v>0</v>
          </cell>
          <cell r="S587">
            <v>0</v>
          </cell>
          <cell r="T587">
            <v>0</v>
          </cell>
          <cell r="U587">
            <v>0</v>
          </cell>
          <cell r="V587">
            <v>-1318.24</v>
          </cell>
          <cell r="W587">
            <v>0</v>
          </cell>
          <cell r="X587">
            <v>0</v>
          </cell>
          <cell r="Y587">
            <v>0</v>
          </cell>
          <cell r="Z587">
            <v>0</v>
          </cell>
          <cell r="AA587">
            <v>0</v>
          </cell>
          <cell r="AB587">
            <v>0</v>
          </cell>
          <cell r="AC587">
            <v>0</v>
          </cell>
          <cell r="AD587">
            <v>0</v>
          </cell>
          <cell r="AE587">
            <v>0</v>
          </cell>
          <cell r="AF587">
            <v>0</v>
          </cell>
        </row>
        <row r="588">
          <cell r="A588">
            <v>1800008</v>
          </cell>
          <cell r="H588">
            <v>5900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row>
        <row r="589">
          <cell r="A589">
            <v>1800009</v>
          </cell>
          <cell r="B589" t="str">
            <v>1800009</v>
          </cell>
          <cell r="G589" t="str">
            <v>PRINTER -SURAT</v>
          </cell>
          <cell r="H589">
            <v>9600</v>
          </cell>
          <cell r="K589">
            <v>0</v>
          </cell>
          <cell r="L589">
            <v>0</v>
          </cell>
          <cell r="M589">
            <v>-757.48</v>
          </cell>
          <cell r="N589">
            <v>0</v>
          </cell>
          <cell r="O589">
            <v>0</v>
          </cell>
          <cell r="P589">
            <v>0</v>
          </cell>
          <cell r="Q589">
            <v>0</v>
          </cell>
          <cell r="R589">
            <v>0</v>
          </cell>
          <cell r="S589">
            <v>0</v>
          </cell>
          <cell r="T589">
            <v>0</v>
          </cell>
          <cell r="U589">
            <v>0</v>
          </cell>
          <cell r="V589">
            <v>-3537.01</v>
          </cell>
          <cell r="W589">
            <v>0</v>
          </cell>
          <cell r="X589">
            <v>0</v>
          </cell>
          <cell r="Y589">
            <v>0</v>
          </cell>
          <cell r="Z589">
            <v>0</v>
          </cell>
          <cell r="AA589">
            <v>0</v>
          </cell>
          <cell r="AB589">
            <v>0</v>
          </cell>
          <cell r="AC589">
            <v>0</v>
          </cell>
          <cell r="AD589">
            <v>0</v>
          </cell>
          <cell r="AE589">
            <v>0</v>
          </cell>
          <cell r="AF589">
            <v>0</v>
          </cell>
        </row>
        <row r="590">
          <cell r="A590">
            <v>1800009</v>
          </cell>
          <cell r="H590">
            <v>9600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row>
        <row r="591">
          <cell r="A591">
            <v>1800009</v>
          </cell>
          <cell r="H591">
            <v>9600</v>
          </cell>
          <cell r="K591">
            <v>0</v>
          </cell>
          <cell r="L591">
            <v>0</v>
          </cell>
          <cell r="M591">
            <v>-4294.49</v>
          </cell>
          <cell r="N591">
            <v>0</v>
          </cell>
          <cell r="O591">
            <v>0</v>
          </cell>
          <cell r="P591">
            <v>0</v>
          </cell>
          <cell r="Q591">
            <v>0</v>
          </cell>
          <cell r="R591">
            <v>0</v>
          </cell>
          <cell r="S591">
            <v>0</v>
          </cell>
          <cell r="T591">
            <v>0</v>
          </cell>
          <cell r="U591">
            <v>0</v>
          </cell>
          <cell r="V591">
            <v>-2122.1999999999998</v>
          </cell>
          <cell r="W591">
            <v>0</v>
          </cell>
          <cell r="X591">
            <v>0</v>
          </cell>
          <cell r="Y591">
            <v>0</v>
          </cell>
          <cell r="Z591">
            <v>0</v>
          </cell>
          <cell r="AA591">
            <v>0</v>
          </cell>
          <cell r="AB591">
            <v>0</v>
          </cell>
          <cell r="AC591">
            <v>0</v>
          </cell>
          <cell r="AD591">
            <v>0</v>
          </cell>
          <cell r="AE591">
            <v>0</v>
          </cell>
          <cell r="AF591">
            <v>0</v>
          </cell>
        </row>
        <row r="592">
          <cell r="A592">
            <v>1800009</v>
          </cell>
          <cell r="H592">
            <v>9600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row>
        <row r="593">
          <cell r="A593">
            <v>1800010</v>
          </cell>
          <cell r="B593" t="str">
            <v>1800010</v>
          </cell>
          <cell r="G593" t="str">
            <v>HARD DISK -BARODA</v>
          </cell>
          <cell r="H593">
            <v>8100</v>
          </cell>
          <cell r="K593">
            <v>0</v>
          </cell>
          <cell r="L593">
            <v>0</v>
          </cell>
          <cell r="M593">
            <v>-8100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row>
        <row r="594">
          <cell r="A594">
            <v>1800010</v>
          </cell>
          <cell r="H594">
            <v>8100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row>
        <row r="595">
          <cell r="A595">
            <v>1800010</v>
          </cell>
          <cell r="H595">
            <v>8100</v>
          </cell>
          <cell r="K595">
            <v>0</v>
          </cell>
          <cell r="L595">
            <v>0</v>
          </cell>
          <cell r="M595">
            <v>-8100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row>
        <row r="596">
          <cell r="A596">
            <v>1800010</v>
          </cell>
          <cell r="H596">
            <v>8100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row>
        <row r="597">
          <cell r="A597">
            <v>1800011</v>
          </cell>
          <cell r="B597" t="str">
            <v>1800011</v>
          </cell>
          <cell r="G597" t="str">
            <v>PRINTER</v>
          </cell>
          <cell r="H597">
            <v>15000</v>
          </cell>
          <cell r="K597">
            <v>0</v>
          </cell>
          <cell r="L597">
            <v>0</v>
          </cell>
          <cell r="M597">
            <v>-10712</v>
          </cell>
          <cell r="N597">
            <v>0</v>
          </cell>
          <cell r="O597">
            <v>0</v>
          </cell>
          <cell r="P597">
            <v>0</v>
          </cell>
          <cell r="Q597">
            <v>0</v>
          </cell>
          <cell r="R597">
            <v>0</v>
          </cell>
          <cell r="S597">
            <v>0</v>
          </cell>
          <cell r="T597">
            <v>0</v>
          </cell>
          <cell r="U597">
            <v>0</v>
          </cell>
          <cell r="V597">
            <v>-1715.2</v>
          </cell>
          <cell r="W597">
            <v>0</v>
          </cell>
          <cell r="X597">
            <v>0</v>
          </cell>
          <cell r="Y597">
            <v>0</v>
          </cell>
          <cell r="Z597">
            <v>0</v>
          </cell>
          <cell r="AA597">
            <v>0</v>
          </cell>
          <cell r="AB597">
            <v>0</v>
          </cell>
          <cell r="AC597">
            <v>0</v>
          </cell>
          <cell r="AD597">
            <v>0</v>
          </cell>
          <cell r="AE597">
            <v>0</v>
          </cell>
          <cell r="AF597">
            <v>0</v>
          </cell>
        </row>
        <row r="598">
          <cell r="A598">
            <v>1800011</v>
          </cell>
          <cell r="H598">
            <v>15000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row>
        <row r="599">
          <cell r="A599">
            <v>1800011</v>
          </cell>
          <cell r="H599">
            <v>15000</v>
          </cell>
          <cell r="K599">
            <v>0</v>
          </cell>
          <cell r="L599">
            <v>0</v>
          </cell>
          <cell r="M599">
            <v>-12427.2</v>
          </cell>
          <cell r="N599">
            <v>0</v>
          </cell>
          <cell r="O599">
            <v>0</v>
          </cell>
          <cell r="P599">
            <v>0</v>
          </cell>
          <cell r="Q599">
            <v>0</v>
          </cell>
          <cell r="R599">
            <v>0</v>
          </cell>
          <cell r="S599">
            <v>0</v>
          </cell>
          <cell r="T599">
            <v>0</v>
          </cell>
          <cell r="U599">
            <v>0</v>
          </cell>
          <cell r="V599">
            <v>-1029.1199999999999</v>
          </cell>
          <cell r="W599">
            <v>0</v>
          </cell>
          <cell r="X599">
            <v>0</v>
          </cell>
          <cell r="Y599">
            <v>0</v>
          </cell>
          <cell r="Z599">
            <v>0</v>
          </cell>
          <cell r="AA599">
            <v>0</v>
          </cell>
          <cell r="AB599">
            <v>0</v>
          </cell>
          <cell r="AC599">
            <v>0</v>
          </cell>
          <cell r="AD599">
            <v>0</v>
          </cell>
          <cell r="AE599">
            <v>0</v>
          </cell>
          <cell r="AF599">
            <v>0</v>
          </cell>
        </row>
        <row r="600">
          <cell r="A600">
            <v>1800011</v>
          </cell>
          <cell r="H600">
            <v>15000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row>
        <row r="601">
          <cell r="A601">
            <v>1800012</v>
          </cell>
          <cell r="B601" t="str">
            <v>1800012</v>
          </cell>
          <cell r="G601" t="str">
            <v>COMPUTERS</v>
          </cell>
          <cell r="H601">
            <v>495000</v>
          </cell>
          <cell r="K601">
            <v>0</v>
          </cell>
          <cell r="L601">
            <v>0</v>
          </cell>
          <cell r="M601">
            <v>-333985.32</v>
          </cell>
          <cell r="N601">
            <v>0</v>
          </cell>
          <cell r="O601">
            <v>0</v>
          </cell>
          <cell r="P601">
            <v>0</v>
          </cell>
          <cell r="Q601">
            <v>0</v>
          </cell>
          <cell r="R601">
            <v>0</v>
          </cell>
          <cell r="S601">
            <v>0</v>
          </cell>
          <cell r="T601">
            <v>0</v>
          </cell>
          <cell r="U601">
            <v>0</v>
          </cell>
          <cell r="V601">
            <v>-64405.87</v>
          </cell>
          <cell r="W601">
            <v>0</v>
          </cell>
          <cell r="X601">
            <v>0</v>
          </cell>
          <cell r="Y601">
            <v>0</v>
          </cell>
          <cell r="Z601">
            <v>0</v>
          </cell>
          <cell r="AA601">
            <v>0</v>
          </cell>
          <cell r="AB601">
            <v>0</v>
          </cell>
          <cell r="AC601">
            <v>0</v>
          </cell>
          <cell r="AD601">
            <v>0</v>
          </cell>
          <cell r="AE601">
            <v>0</v>
          </cell>
          <cell r="AF601">
            <v>0</v>
          </cell>
        </row>
        <row r="602">
          <cell r="A602">
            <v>1800012</v>
          </cell>
          <cell r="H602">
            <v>495000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row>
        <row r="603">
          <cell r="A603">
            <v>1800012</v>
          </cell>
          <cell r="H603">
            <v>495000</v>
          </cell>
          <cell r="K603">
            <v>0</v>
          </cell>
          <cell r="L603">
            <v>0</v>
          </cell>
          <cell r="M603">
            <v>-398391.19</v>
          </cell>
          <cell r="N603">
            <v>0</v>
          </cell>
          <cell r="O603">
            <v>0</v>
          </cell>
          <cell r="P603">
            <v>0</v>
          </cell>
          <cell r="Q603">
            <v>0</v>
          </cell>
          <cell r="R603">
            <v>0</v>
          </cell>
          <cell r="S603">
            <v>0</v>
          </cell>
          <cell r="T603">
            <v>0</v>
          </cell>
          <cell r="U603">
            <v>0</v>
          </cell>
          <cell r="V603">
            <v>-38643.519999999997</v>
          </cell>
          <cell r="W603">
            <v>0</v>
          </cell>
          <cell r="X603">
            <v>0</v>
          </cell>
          <cell r="Y603">
            <v>0</v>
          </cell>
          <cell r="Z603">
            <v>0</v>
          </cell>
          <cell r="AA603">
            <v>0</v>
          </cell>
          <cell r="AB603">
            <v>0</v>
          </cell>
          <cell r="AC603">
            <v>0</v>
          </cell>
          <cell r="AD603">
            <v>0</v>
          </cell>
          <cell r="AE603">
            <v>0</v>
          </cell>
          <cell r="AF603">
            <v>0</v>
          </cell>
        </row>
        <row r="604">
          <cell r="A604">
            <v>1800012</v>
          </cell>
          <cell r="H604">
            <v>495000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row>
        <row r="605">
          <cell r="A605">
            <v>1800013</v>
          </cell>
          <cell r="B605" t="str">
            <v>1800013</v>
          </cell>
          <cell r="G605" t="str">
            <v>MODEM ( FCD-2L)</v>
          </cell>
          <cell r="H605">
            <v>43000</v>
          </cell>
          <cell r="K605">
            <v>0</v>
          </cell>
          <cell r="L605">
            <v>0</v>
          </cell>
          <cell r="M605">
            <v>-26473.86</v>
          </cell>
          <cell r="N605">
            <v>0</v>
          </cell>
          <cell r="O605">
            <v>0</v>
          </cell>
          <cell r="P605">
            <v>0</v>
          </cell>
          <cell r="Q605">
            <v>0</v>
          </cell>
          <cell r="R605">
            <v>0</v>
          </cell>
          <cell r="S605">
            <v>0</v>
          </cell>
          <cell r="T605">
            <v>0</v>
          </cell>
          <cell r="U605">
            <v>0</v>
          </cell>
          <cell r="V605">
            <v>-6610.46</v>
          </cell>
          <cell r="W605">
            <v>0</v>
          </cell>
          <cell r="X605">
            <v>0</v>
          </cell>
          <cell r="Y605">
            <v>0</v>
          </cell>
          <cell r="Z605">
            <v>0</v>
          </cell>
          <cell r="AA605">
            <v>0</v>
          </cell>
          <cell r="AB605">
            <v>0</v>
          </cell>
          <cell r="AC605">
            <v>0</v>
          </cell>
          <cell r="AD605">
            <v>0</v>
          </cell>
          <cell r="AE605">
            <v>0</v>
          </cell>
          <cell r="AF605">
            <v>0</v>
          </cell>
        </row>
        <row r="606">
          <cell r="A606">
            <v>1800013</v>
          </cell>
          <cell r="H606">
            <v>43000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row>
        <row r="607">
          <cell r="A607">
            <v>1800013</v>
          </cell>
          <cell r="H607">
            <v>43000</v>
          </cell>
          <cell r="K607">
            <v>0</v>
          </cell>
          <cell r="L607">
            <v>0</v>
          </cell>
          <cell r="M607">
            <v>-33084.32</v>
          </cell>
          <cell r="N607">
            <v>0</v>
          </cell>
          <cell r="O607">
            <v>0</v>
          </cell>
          <cell r="P607">
            <v>0</v>
          </cell>
          <cell r="Q607">
            <v>0</v>
          </cell>
          <cell r="R607">
            <v>0</v>
          </cell>
          <cell r="S607">
            <v>0</v>
          </cell>
          <cell r="T607">
            <v>0</v>
          </cell>
          <cell r="U607">
            <v>0</v>
          </cell>
          <cell r="V607">
            <v>-3966.27</v>
          </cell>
          <cell r="W607">
            <v>0</v>
          </cell>
          <cell r="X607">
            <v>0</v>
          </cell>
          <cell r="Y607">
            <v>0</v>
          </cell>
          <cell r="Z607">
            <v>0</v>
          </cell>
          <cell r="AA607">
            <v>0</v>
          </cell>
          <cell r="AB607">
            <v>0</v>
          </cell>
          <cell r="AC607">
            <v>0</v>
          </cell>
          <cell r="AD607">
            <v>0</v>
          </cell>
          <cell r="AE607">
            <v>0</v>
          </cell>
          <cell r="AF607">
            <v>0</v>
          </cell>
        </row>
        <row r="608">
          <cell r="A608">
            <v>1800013</v>
          </cell>
          <cell r="H608">
            <v>43000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row>
        <row r="609">
          <cell r="A609">
            <v>1800014</v>
          </cell>
          <cell r="B609" t="str">
            <v>1800014</v>
          </cell>
          <cell r="G609" t="str">
            <v>COMPUTER</v>
          </cell>
          <cell r="H609">
            <v>120500</v>
          </cell>
          <cell r="K609">
            <v>0</v>
          </cell>
          <cell r="L609">
            <v>0</v>
          </cell>
          <cell r="M609">
            <v>-75535.34</v>
          </cell>
          <cell r="N609">
            <v>0</v>
          </cell>
          <cell r="O609">
            <v>0</v>
          </cell>
          <cell r="P609">
            <v>0</v>
          </cell>
          <cell r="Q609">
            <v>0</v>
          </cell>
          <cell r="R609">
            <v>0</v>
          </cell>
          <cell r="S609">
            <v>0</v>
          </cell>
          <cell r="T609">
            <v>0</v>
          </cell>
          <cell r="U609">
            <v>0</v>
          </cell>
          <cell r="V609">
            <v>-17985.86</v>
          </cell>
          <cell r="W609">
            <v>0</v>
          </cell>
          <cell r="X609">
            <v>0</v>
          </cell>
          <cell r="Y609">
            <v>0</v>
          </cell>
          <cell r="Z609">
            <v>0</v>
          </cell>
          <cell r="AA609">
            <v>0</v>
          </cell>
          <cell r="AB609">
            <v>0</v>
          </cell>
          <cell r="AC609">
            <v>0</v>
          </cell>
          <cell r="AD609">
            <v>0</v>
          </cell>
          <cell r="AE609">
            <v>0</v>
          </cell>
          <cell r="AF609">
            <v>0</v>
          </cell>
        </row>
        <row r="610">
          <cell r="A610">
            <v>1800014</v>
          </cell>
          <cell r="H610">
            <v>120500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row>
        <row r="611">
          <cell r="A611">
            <v>1800014</v>
          </cell>
          <cell r="H611">
            <v>120500</v>
          </cell>
          <cell r="K611">
            <v>0</v>
          </cell>
          <cell r="L611">
            <v>0</v>
          </cell>
          <cell r="M611">
            <v>-93521.2</v>
          </cell>
          <cell r="N611">
            <v>0</v>
          </cell>
          <cell r="O611">
            <v>0</v>
          </cell>
          <cell r="P611">
            <v>0</v>
          </cell>
          <cell r="Q611">
            <v>0</v>
          </cell>
          <cell r="R611">
            <v>0</v>
          </cell>
          <cell r="S611">
            <v>0</v>
          </cell>
          <cell r="T611">
            <v>0</v>
          </cell>
          <cell r="U611">
            <v>0</v>
          </cell>
          <cell r="V611">
            <v>-10791.52</v>
          </cell>
          <cell r="W611">
            <v>0</v>
          </cell>
          <cell r="X611">
            <v>0</v>
          </cell>
          <cell r="Y611">
            <v>0</v>
          </cell>
          <cell r="Z611">
            <v>0</v>
          </cell>
          <cell r="AA611">
            <v>0</v>
          </cell>
          <cell r="AB611">
            <v>0</v>
          </cell>
          <cell r="AC611">
            <v>0</v>
          </cell>
          <cell r="AD611">
            <v>0</v>
          </cell>
          <cell r="AE611">
            <v>0</v>
          </cell>
          <cell r="AF611">
            <v>0</v>
          </cell>
        </row>
        <row r="612">
          <cell r="A612">
            <v>1800014</v>
          </cell>
          <cell r="H612">
            <v>120500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row>
        <row r="613">
          <cell r="A613">
            <v>1800015</v>
          </cell>
          <cell r="B613" t="str">
            <v>1800015</v>
          </cell>
          <cell r="G613" t="str">
            <v>COMPUTER</v>
          </cell>
          <cell r="H613">
            <v>22900</v>
          </cell>
          <cell r="K613">
            <v>0</v>
          </cell>
          <cell r="L613">
            <v>0</v>
          </cell>
          <cell r="M613">
            <v>-13662.2</v>
          </cell>
          <cell r="N613">
            <v>0</v>
          </cell>
          <cell r="O613">
            <v>0</v>
          </cell>
          <cell r="P613">
            <v>0</v>
          </cell>
          <cell r="Q613">
            <v>0</v>
          </cell>
          <cell r="R613">
            <v>0</v>
          </cell>
          <cell r="S613">
            <v>0</v>
          </cell>
          <cell r="T613">
            <v>0</v>
          </cell>
          <cell r="U613">
            <v>0</v>
          </cell>
          <cell r="V613">
            <v>-3695.12</v>
          </cell>
          <cell r="W613">
            <v>0</v>
          </cell>
          <cell r="X613">
            <v>0</v>
          </cell>
          <cell r="Y613">
            <v>0</v>
          </cell>
          <cell r="Z613">
            <v>0</v>
          </cell>
          <cell r="AA613">
            <v>0</v>
          </cell>
          <cell r="AB613">
            <v>0</v>
          </cell>
          <cell r="AC613">
            <v>0</v>
          </cell>
          <cell r="AD613">
            <v>0</v>
          </cell>
          <cell r="AE613">
            <v>0</v>
          </cell>
          <cell r="AF613">
            <v>0</v>
          </cell>
        </row>
        <row r="614">
          <cell r="A614">
            <v>1800015</v>
          </cell>
          <cell r="H614">
            <v>22900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row>
        <row r="615">
          <cell r="A615">
            <v>1800015</v>
          </cell>
          <cell r="H615">
            <v>22900</v>
          </cell>
          <cell r="K615">
            <v>0</v>
          </cell>
          <cell r="L615">
            <v>0</v>
          </cell>
          <cell r="M615">
            <v>-17357.32</v>
          </cell>
          <cell r="N615">
            <v>0</v>
          </cell>
          <cell r="O615">
            <v>0</v>
          </cell>
          <cell r="P615">
            <v>0</v>
          </cell>
          <cell r="Q615">
            <v>0</v>
          </cell>
          <cell r="R615">
            <v>0</v>
          </cell>
          <cell r="S615">
            <v>0</v>
          </cell>
          <cell r="T615">
            <v>0</v>
          </cell>
          <cell r="U615">
            <v>0</v>
          </cell>
          <cell r="V615">
            <v>-2217.0700000000002</v>
          </cell>
          <cell r="W615">
            <v>0</v>
          </cell>
          <cell r="X615">
            <v>0</v>
          </cell>
          <cell r="Y615">
            <v>0</v>
          </cell>
          <cell r="Z615">
            <v>0</v>
          </cell>
          <cell r="AA615">
            <v>0</v>
          </cell>
          <cell r="AB615">
            <v>0</v>
          </cell>
          <cell r="AC615">
            <v>0</v>
          </cell>
          <cell r="AD615">
            <v>0</v>
          </cell>
          <cell r="AE615">
            <v>0</v>
          </cell>
          <cell r="AF615">
            <v>0</v>
          </cell>
        </row>
        <row r="616">
          <cell r="A616">
            <v>1800015</v>
          </cell>
          <cell r="H616">
            <v>22900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row>
        <row r="617">
          <cell r="A617">
            <v>1800016</v>
          </cell>
          <cell r="B617" t="str">
            <v>1800016</v>
          </cell>
          <cell r="G617" t="str">
            <v>COMPUTER</v>
          </cell>
          <cell r="H617">
            <v>44250</v>
          </cell>
          <cell r="K617">
            <v>0</v>
          </cell>
          <cell r="L617">
            <v>0</v>
          </cell>
          <cell r="M617">
            <v>-24275</v>
          </cell>
          <cell r="N617">
            <v>0</v>
          </cell>
          <cell r="O617">
            <v>0</v>
          </cell>
          <cell r="P617">
            <v>0</v>
          </cell>
          <cell r="Q617">
            <v>0</v>
          </cell>
          <cell r="R617">
            <v>0</v>
          </cell>
          <cell r="S617">
            <v>0</v>
          </cell>
          <cell r="T617">
            <v>0</v>
          </cell>
          <cell r="U617">
            <v>0</v>
          </cell>
          <cell r="V617">
            <v>-7990</v>
          </cell>
          <cell r="W617">
            <v>0</v>
          </cell>
          <cell r="X617">
            <v>0</v>
          </cell>
          <cell r="Y617">
            <v>0</v>
          </cell>
          <cell r="Z617">
            <v>0</v>
          </cell>
          <cell r="AA617">
            <v>0</v>
          </cell>
          <cell r="AB617">
            <v>0</v>
          </cell>
          <cell r="AC617">
            <v>0</v>
          </cell>
          <cell r="AD617">
            <v>0</v>
          </cell>
          <cell r="AE617">
            <v>0</v>
          </cell>
          <cell r="AF617">
            <v>0</v>
          </cell>
        </row>
        <row r="618">
          <cell r="A618">
            <v>1800016</v>
          </cell>
          <cell r="H618">
            <v>44250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row>
        <row r="619">
          <cell r="A619">
            <v>1800016</v>
          </cell>
          <cell r="H619">
            <v>44250</v>
          </cell>
          <cell r="K619">
            <v>0</v>
          </cell>
          <cell r="L619">
            <v>0</v>
          </cell>
          <cell r="M619">
            <v>-32265</v>
          </cell>
          <cell r="N619">
            <v>0</v>
          </cell>
          <cell r="O619">
            <v>0</v>
          </cell>
          <cell r="P619">
            <v>0</v>
          </cell>
          <cell r="Q619">
            <v>0</v>
          </cell>
          <cell r="R619">
            <v>0</v>
          </cell>
          <cell r="S619">
            <v>0</v>
          </cell>
          <cell r="T619">
            <v>0</v>
          </cell>
          <cell r="U619">
            <v>0</v>
          </cell>
          <cell r="V619">
            <v>-4794</v>
          </cell>
          <cell r="W619">
            <v>0</v>
          </cell>
          <cell r="X619">
            <v>0</v>
          </cell>
          <cell r="Y619">
            <v>0</v>
          </cell>
          <cell r="Z619">
            <v>0</v>
          </cell>
          <cell r="AA619">
            <v>0</v>
          </cell>
          <cell r="AB619">
            <v>0</v>
          </cell>
          <cell r="AC619">
            <v>0</v>
          </cell>
          <cell r="AD619">
            <v>0</v>
          </cell>
          <cell r="AE619">
            <v>0</v>
          </cell>
          <cell r="AF619">
            <v>0</v>
          </cell>
        </row>
        <row r="620">
          <cell r="A620">
            <v>1800016</v>
          </cell>
          <cell r="H620">
            <v>44250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row>
        <row r="621">
          <cell r="A621">
            <v>1800017</v>
          </cell>
          <cell r="B621" t="str">
            <v>1800017</v>
          </cell>
          <cell r="G621" t="str">
            <v>COMPUTER</v>
          </cell>
          <cell r="H621">
            <v>30350</v>
          </cell>
          <cell r="K621">
            <v>0</v>
          </cell>
          <cell r="L621">
            <v>0</v>
          </cell>
          <cell r="M621">
            <v>-12519</v>
          </cell>
          <cell r="N621">
            <v>0</v>
          </cell>
          <cell r="O621">
            <v>0</v>
          </cell>
          <cell r="P621">
            <v>0</v>
          </cell>
          <cell r="Q621">
            <v>0</v>
          </cell>
          <cell r="R621">
            <v>0</v>
          </cell>
          <cell r="S621">
            <v>0</v>
          </cell>
          <cell r="T621">
            <v>0</v>
          </cell>
          <cell r="U621">
            <v>0</v>
          </cell>
          <cell r="V621">
            <v>-7132.4</v>
          </cell>
          <cell r="W621">
            <v>0</v>
          </cell>
          <cell r="X621">
            <v>0</v>
          </cell>
          <cell r="Y621">
            <v>0</v>
          </cell>
          <cell r="Z621">
            <v>0</v>
          </cell>
          <cell r="AA621">
            <v>0</v>
          </cell>
          <cell r="AB621">
            <v>0</v>
          </cell>
          <cell r="AC621">
            <v>0</v>
          </cell>
          <cell r="AD621">
            <v>0</v>
          </cell>
          <cell r="AE621">
            <v>0</v>
          </cell>
          <cell r="AF621">
            <v>0</v>
          </cell>
        </row>
        <row r="622">
          <cell r="A622">
            <v>1800017</v>
          </cell>
          <cell r="H622">
            <v>30350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row>
        <row r="623">
          <cell r="A623">
            <v>1800017</v>
          </cell>
          <cell r="H623">
            <v>30350</v>
          </cell>
          <cell r="K623">
            <v>0</v>
          </cell>
          <cell r="L623">
            <v>0</v>
          </cell>
          <cell r="M623">
            <v>-19651.400000000001</v>
          </cell>
          <cell r="N623">
            <v>0</v>
          </cell>
          <cell r="O623">
            <v>0</v>
          </cell>
          <cell r="P623">
            <v>0</v>
          </cell>
          <cell r="Q623">
            <v>0</v>
          </cell>
          <cell r="R623">
            <v>0</v>
          </cell>
          <cell r="S623">
            <v>0</v>
          </cell>
          <cell r="T623">
            <v>0</v>
          </cell>
          <cell r="U623">
            <v>0</v>
          </cell>
          <cell r="V623">
            <v>-4279.4399999999996</v>
          </cell>
          <cell r="W623">
            <v>0</v>
          </cell>
          <cell r="X623">
            <v>0</v>
          </cell>
          <cell r="Y623">
            <v>0</v>
          </cell>
          <cell r="Z623">
            <v>0</v>
          </cell>
          <cell r="AA623">
            <v>0</v>
          </cell>
          <cell r="AB623">
            <v>0</v>
          </cell>
          <cell r="AC623">
            <v>0</v>
          </cell>
          <cell r="AD623">
            <v>0</v>
          </cell>
          <cell r="AE623">
            <v>0</v>
          </cell>
          <cell r="AF623">
            <v>0</v>
          </cell>
        </row>
        <row r="624">
          <cell r="A624">
            <v>1800017</v>
          </cell>
          <cell r="H624">
            <v>30350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row>
        <row r="625">
          <cell r="A625">
            <v>1800018</v>
          </cell>
          <cell r="B625" t="str">
            <v>1800018</v>
          </cell>
          <cell r="G625" t="str">
            <v>WEB CAMERA</v>
          </cell>
          <cell r="H625">
            <v>5500</v>
          </cell>
          <cell r="K625">
            <v>0</v>
          </cell>
          <cell r="L625">
            <v>0</v>
          </cell>
          <cell r="M625">
            <v>-2782.25</v>
          </cell>
          <cell r="N625">
            <v>0</v>
          </cell>
          <cell r="O625">
            <v>0</v>
          </cell>
          <cell r="P625">
            <v>0</v>
          </cell>
          <cell r="Q625">
            <v>0</v>
          </cell>
          <cell r="R625">
            <v>0</v>
          </cell>
          <cell r="S625">
            <v>0</v>
          </cell>
          <cell r="T625">
            <v>0</v>
          </cell>
          <cell r="U625">
            <v>0</v>
          </cell>
          <cell r="V625">
            <v>-1087.0999999999999</v>
          </cell>
          <cell r="W625">
            <v>0</v>
          </cell>
          <cell r="X625">
            <v>0</v>
          </cell>
          <cell r="Y625">
            <v>0</v>
          </cell>
          <cell r="Z625">
            <v>0</v>
          </cell>
          <cell r="AA625">
            <v>0</v>
          </cell>
          <cell r="AB625">
            <v>0</v>
          </cell>
          <cell r="AC625">
            <v>0</v>
          </cell>
          <cell r="AD625">
            <v>0</v>
          </cell>
          <cell r="AE625">
            <v>0</v>
          </cell>
          <cell r="AF625">
            <v>0</v>
          </cell>
        </row>
        <row r="626">
          <cell r="A626">
            <v>1800018</v>
          </cell>
          <cell r="H626">
            <v>5500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row>
        <row r="627">
          <cell r="A627">
            <v>1800018</v>
          </cell>
          <cell r="H627">
            <v>5500</v>
          </cell>
          <cell r="K627">
            <v>0</v>
          </cell>
          <cell r="L627">
            <v>0</v>
          </cell>
          <cell r="M627">
            <v>-3869.35</v>
          </cell>
          <cell r="N627">
            <v>0</v>
          </cell>
          <cell r="O627">
            <v>0</v>
          </cell>
          <cell r="P627">
            <v>0</v>
          </cell>
          <cell r="Q627">
            <v>0</v>
          </cell>
          <cell r="R627">
            <v>0</v>
          </cell>
          <cell r="S627">
            <v>0</v>
          </cell>
          <cell r="T627">
            <v>0</v>
          </cell>
          <cell r="U627">
            <v>0</v>
          </cell>
          <cell r="V627">
            <v>-652.26</v>
          </cell>
          <cell r="W627">
            <v>0</v>
          </cell>
          <cell r="X627">
            <v>0</v>
          </cell>
          <cell r="Y627">
            <v>0</v>
          </cell>
          <cell r="Z627">
            <v>0</v>
          </cell>
          <cell r="AA627">
            <v>0</v>
          </cell>
          <cell r="AB627">
            <v>0</v>
          </cell>
          <cell r="AC627">
            <v>0</v>
          </cell>
          <cell r="AD627">
            <v>0</v>
          </cell>
          <cell r="AE627">
            <v>0</v>
          </cell>
          <cell r="AF627">
            <v>0</v>
          </cell>
        </row>
        <row r="628">
          <cell r="A628">
            <v>1800018</v>
          </cell>
          <cell r="H628">
            <v>5500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row>
        <row r="629">
          <cell r="A629">
            <v>1800019</v>
          </cell>
          <cell r="B629" t="str">
            <v>1800019</v>
          </cell>
          <cell r="G629" t="str">
            <v>SERVER SHARER SWITCH</v>
          </cell>
          <cell r="H629">
            <v>9500</v>
          </cell>
          <cell r="K629">
            <v>0</v>
          </cell>
          <cell r="L629">
            <v>0</v>
          </cell>
          <cell r="M629">
            <v>-5486.58</v>
          </cell>
          <cell r="N629">
            <v>0</v>
          </cell>
          <cell r="O629">
            <v>0</v>
          </cell>
          <cell r="P629">
            <v>0</v>
          </cell>
          <cell r="Q629">
            <v>0</v>
          </cell>
          <cell r="R629">
            <v>0</v>
          </cell>
          <cell r="S629">
            <v>0</v>
          </cell>
          <cell r="T629">
            <v>0</v>
          </cell>
          <cell r="U629">
            <v>0</v>
          </cell>
          <cell r="V629">
            <v>-1605.37</v>
          </cell>
          <cell r="W629">
            <v>0</v>
          </cell>
          <cell r="X629">
            <v>0</v>
          </cell>
          <cell r="Y629">
            <v>0</v>
          </cell>
          <cell r="Z629">
            <v>0</v>
          </cell>
          <cell r="AA629">
            <v>0</v>
          </cell>
          <cell r="AB629">
            <v>0</v>
          </cell>
          <cell r="AC629">
            <v>0</v>
          </cell>
          <cell r="AD629">
            <v>0</v>
          </cell>
          <cell r="AE629">
            <v>0</v>
          </cell>
          <cell r="AF629">
            <v>0</v>
          </cell>
        </row>
        <row r="630">
          <cell r="A630">
            <v>1800019</v>
          </cell>
          <cell r="H630">
            <v>9500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row>
        <row r="631">
          <cell r="A631">
            <v>1800019</v>
          </cell>
          <cell r="H631">
            <v>9500</v>
          </cell>
          <cell r="K631">
            <v>0</v>
          </cell>
          <cell r="L631">
            <v>0</v>
          </cell>
          <cell r="M631">
            <v>-7091.95</v>
          </cell>
          <cell r="N631">
            <v>0</v>
          </cell>
          <cell r="O631">
            <v>0</v>
          </cell>
          <cell r="P631">
            <v>0</v>
          </cell>
          <cell r="Q631">
            <v>0</v>
          </cell>
          <cell r="R631">
            <v>0</v>
          </cell>
          <cell r="S631">
            <v>0</v>
          </cell>
          <cell r="T631">
            <v>0</v>
          </cell>
          <cell r="U631">
            <v>0</v>
          </cell>
          <cell r="V631">
            <v>-963.22</v>
          </cell>
          <cell r="W631">
            <v>0</v>
          </cell>
          <cell r="X631">
            <v>0</v>
          </cell>
          <cell r="Y631">
            <v>0</v>
          </cell>
          <cell r="Z631">
            <v>0</v>
          </cell>
          <cell r="AA631">
            <v>0</v>
          </cell>
          <cell r="AB631">
            <v>0</v>
          </cell>
          <cell r="AC631">
            <v>0</v>
          </cell>
          <cell r="AD631">
            <v>0</v>
          </cell>
          <cell r="AE631">
            <v>0</v>
          </cell>
          <cell r="AF631">
            <v>0</v>
          </cell>
        </row>
        <row r="632">
          <cell r="A632">
            <v>1800019</v>
          </cell>
          <cell r="H632">
            <v>9500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row>
        <row r="633">
          <cell r="A633">
            <v>1800020</v>
          </cell>
          <cell r="B633" t="str">
            <v>1800020</v>
          </cell>
          <cell r="G633" t="str">
            <v>HARD DISK</v>
          </cell>
          <cell r="H633">
            <v>10500</v>
          </cell>
          <cell r="K633">
            <v>0</v>
          </cell>
          <cell r="L633">
            <v>0</v>
          </cell>
          <cell r="M633">
            <v>-5870.79</v>
          </cell>
          <cell r="N633">
            <v>0</v>
          </cell>
          <cell r="O633">
            <v>0</v>
          </cell>
          <cell r="P633">
            <v>0</v>
          </cell>
          <cell r="Q633">
            <v>0</v>
          </cell>
          <cell r="R633">
            <v>0</v>
          </cell>
          <cell r="S633">
            <v>0</v>
          </cell>
          <cell r="T633">
            <v>0</v>
          </cell>
          <cell r="U633">
            <v>0</v>
          </cell>
          <cell r="V633">
            <v>-1851.68</v>
          </cell>
          <cell r="W633">
            <v>0</v>
          </cell>
          <cell r="X633">
            <v>0</v>
          </cell>
          <cell r="Y633">
            <v>0</v>
          </cell>
          <cell r="Z633">
            <v>0</v>
          </cell>
          <cell r="AA633">
            <v>0</v>
          </cell>
          <cell r="AB633">
            <v>0</v>
          </cell>
          <cell r="AC633">
            <v>0</v>
          </cell>
          <cell r="AD633">
            <v>0</v>
          </cell>
          <cell r="AE633">
            <v>0</v>
          </cell>
          <cell r="AF633">
            <v>0</v>
          </cell>
        </row>
        <row r="634">
          <cell r="A634">
            <v>1800020</v>
          </cell>
          <cell r="H634">
            <v>10500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row>
        <row r="635">
          <cell r="A635">
            <v>1800020</v>
          </cell>
          <cell r="H635">
            <v>10500</v>
          </cell>
          <cell r="K635">
            <v>0</v>
          </cell>
          <cell r="L635">
            <v>0</v>
          </cell>
          <cell r="M635">
            <v>-7722.47</v>
          </cell>
          <cell r="N635">
            <v>0</v>
          </cell>
          <cell r="O635">
            <v>0</v>
          </cell>
          <cell r="P635">
            <v>0</v>
          </cell>
          <cell r="Q635">
            <v>0</v>
          </cell>
          <cell r="R635">
            <v>0</v>
          </cell>
          <cell r="S635">
            <v>0</v>
          </cell>
          <cell r="T635">
            <v>0</v>
          </cell>
          <cell r="U635">
            <v>0</v>
          </cell>
          <cell r="V635">
            <v>-1111.01</v>
          </cell>
          <cell r="W635">
            <v>0</v>
          </cell>
          <cell r="X635">
            <v>0</v>
          </cell>
          <cell r="Y635">
            <v>0</v>
          </cell>
          <cell r="Z635">
            <v>0</v>
          </cell>
          <cell r="AA635">
            <v>0</v>
          </cell>
          <cell r="AB635">
            <v>0</v>
          </cell>
          <cell r="AC635">
            <v>0</v>
          </cell>
          <cell r="AD635">
            <v>0</v>
          </cell>
          <cell r="AE635">
            <v>0</v>
          </cell>
          <cell r="AF635">
            <v>0</v>
          </cell>
        </row>
        <row r="636">
          <cell r="A636">
            <v>1800020</v>
          </cell>
          <cell r="H636">
            <v>10500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row>
        <row r="637">
          <cell r="A637">
            <v>1800021</v>
          </cell>
          <cell r="B637" t="str">
            <v>1800021</v>
          </cell>
          <cell r="G637" t="str">
            <v>HARD DISK</v>
          </cell>
          <cell r="H637">
            <v>7500</v>
          </cell>
          <cell r="K637">
            <v>0</v>
          </cell>
          <cell r="L637">
            <v>0</v>
          </cell>
          <cell r="M637">
            <v>-4099.7299999999996</v>
          </cell>
          <cell r="N637">
            <v>0</v>
          </cell>
          <cell r="O637">
            <v>0</v>
          </cell>
          <cell r="P637">
            <v>0</v>
          </cell>
          <cell r="Q637">
            <v>0</v>
          </cell>
          <cell r="R637">
            <v>0</v>
          </cell>
          <cell r="S637">
            <v>0</v>
          </cell>
          <cell r="T637">
            <v>0</v>
          </cell>
          <cell r="U637">
            <v>0</v>
          </cell>
          <cell r="V637">
            <v>-1360.11</v>
          </cell>
          <cell r="W637">
            <v>0</v>
          </cell>
          <cell r="X637">
            <v>0</v>
          </cell>
          <cell r="Y637">
            <v>0</v>
          </cell>
          <cell r="Z637">
            <v>0</v>
          </cell>
          <cell r="AA637">
            <v>0</v>
          </cell>
          <cell r="AB637">
            <v>0</v>
          </cell>
          <cell r="AC637">
            <v>0</v>
          </cell>
          <cell r="AD637">
            <v>0</v>
          </cell>
          <cell r="AE637">
            <v>0</v>
          </cell>
          <cell r="AF637">
            <v>0</v>
          </cell>
        </row>
        <row r="638">
          <cell r="A638">
            <v>1800021</v>
          </cell>
          <cell r="H638">
            <v>7500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row>
        <row r="639">
          <cell r="A639">
            <v>1800021</v>
          </cell>
          <cell r="H639">
            <v>7500</v>
          </cell>
          <cell r="K639">
            <v>0</v>
          </cell>
          <cell r="L639">
            <v>0</v>
          </cell>
          <cell r="M639">
            <v>-5459.84</v>
          </cell>
          <cell r="N639">
            <v>0</v>
          </cell>
          <cell r="O639">
            <v>0</v>
          </cell>
          <cell r="P639">
            <v>0</v>
          </cell>
          <cell r="Q639">
            <v>0</v>
          </cell>
          <cell r="R639">
            <v>0</v>
          </cell>
          <cell r="S639">
            <v>0</v>
          </cell>
          <cell r="T639">
            <v>0</v>
          </cell>
          <cell r="U639">
            <v>0</v>
          </cell>
          <cell r="V639">
            <v>-816.06</v>
          </cell>
          <cell r="W639">
            <v>0</v>
          </cell>
          <cell r="X639">
            <v>0</v>
          </cell>
          <cell r="Y639">
            <v>0</v>
          </cell>
          <cell r="Z639">
            <v>0</v>
          </cell>
          <cell r="AA639">
            <v>0</v>
          </cell>
          <cell r="AB639">
            <v>0</v>
          </cell>
          <cell r="AC639">
            <v>0</v>
          </cell>
          <cell r="AD639">
            <v>0</v>
          </cell>
          <cell r="AE639">
            <v>0</v>
          </cell>
          <cell r="AF639">
            <v>0</v>
          </cell>
        </row>
        <row r="640">
          <cell r="A640">
            <v>1800021</v>
          </cell>
          <cell r="H640">
            <v>7500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row>
        <row r="641">
          <cell r="A641">
            <v>1800022</v>
          </cell>
          <cell r="B641" t="str">
            <v>1800022</v>
          </cell>
          <cell r="G641" t="str">
            <v>HARD DISK</v>
          </cell>
          <cell r="H641">
            <v>9800</v>
          </cell>
          <cell r="K641">
            <v>0</v>
          </cell>
          <cell r="L641">
            <v>0</v>
          </cell>
          <cell r="M641">
            <v>-5190</v>
          </cell>
          <cell r="N641">
            <v>0</v>
          </cell>
          <cell r="O641">
            <v>0</v>
          </cell>
          <cell r="P641">
            <v>0</v>
          </cell>
          <cell r="Q641">
            <v>0</v>
          </cell>
          <cell r="R641">
            <v>0</v>
          </cell>
          <cell r="S641">
            <v>0</v>
          </cell>
          <cell r="T641">
            <v>0</v>
          </cell>
          <cell r="U641">
            <v>0</v>
          </cell>
          <cell r="V641">
            <v>-1844</v>
          </cell>
          <cell r="W641">
            <v>0</v>
          </cell>
          <cell r="X641">
            <v>0</v>
          </cell>
          <cell r="Y641">
            <v>0</v>
          </cell>
          <cell r="Z641">
            <v>0</v>
          </cell>
          <cell r="AA641">
            <v>0</v>
          </cell>
          <cell r="AB641">
            <v>0</v>
          </cell>
          <cell r="AC641">
            <v>0</v>
          </cell>
          <cell r="AD641">
            <v>0</v>
          </cell>
          <cell r="AE641">
            <v>0</v>
          </cell>
          <cell r="AF641">
            <v>0</v>
          </cell>
        </row>
        <row r="642">
          <cell r="A642">
            <v>1800022</v>
          </cell>
          <cell r="H642">
            <v>9800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row>
        <row r="643">
          <cell r="A643">
            <v>1800022</v>
          </cell>
          <cell r="H643">
            <v>9800</v>
          </cell>
          <cell r="K643">
            <v>0</v>
          </cell>
          <cell r="L643">
            <v>0</v>
          </cell>
          <cell r="M643">
            <v>-7034</v>
          </cell>
          <cell r="N643">
            <v>0</v>
          </cell>
          <cell r="O643">
            <v>0</v>
          </cell>
          <cell r="P643">
            <v>0</v>
          </cell>
          <cell r="Q643">
            <v>0</v>
          </cell>
          <cell r="R643">
            <v>0</v>
          </cell>
          <cell r="S643">
            <v>0</v>
          </cell>
          <cell r="T643">
            <v>0</v>
          </cell>
          <cell r="U643">
            <v>0</v>
          </cell>
          <cell r="V643">
            <v>-1106.4000000000001</v>
          </cell>
          <cell r="W643">
            <v>0</v>
          </cell>
          <cell r="X643">
            <v>0</v>
          </cell>
          <cell r="Y643">
            <v>0</v>
          </cell>
          <cell r="Z643">
            <v>0</v>
          </cell>
          <cell r="AA643">
            <v>0</v>
          </cell>
          <cell r="AB643">
            <v>0</v>
          </cell>
          <cell r="AC643">
            <v>0</v>
          </cell>
          <cell r="AD643">
            <v>0</v>
          </cell>
          <cell r="AE643">
            <v>0</v>
          </cell>
          <cell r="AF643">
            <v>0</v>
          </cell>
        </row>
        <row r="644">
          <cell r="A644">
            <v>1800022</v>
          </cell>
          <cell r="H644">
            <v>9800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row>
        <row r="645">
          <cell r="A645">
            <v>1800023</v>
          </cell>
          <cell r="B645" t="str">
            <v>1800023</v>
          </cell>
          <cell r="G645" t="str">
            <v>COMPUTER RAM &amp; CABINET</v>
          </cell>
          <cell r="H645">
            <v>11470</v>
          </cell>
          <cell r="K645">
            <v>0</v>
          </cell>
          <cell r="L645">
            <v>0</v>
          </cell>
          <cell r="M645">
            <v>-7272.92</v>
          </cell>
          <cell r="N645">
            <v>0</v>
          </cell>
          <cell r="O645">
            <v>0</v>
          </cell>
          <cell r="P645">
            <v>0</v>
          </cell>
          <cell r="Q645">
            <v>0</v>
          </cell>
          <cell r="R645">
            <v>0</v>
          </cell>
          <cell r="S645">
            <v>0</v>
          </cell>
          <cell r="T645">
            <v>0</v>
          </cell>
          <cell r="U645">
            <v>0</v>
          </cell>
          <cell r="V645">
            <v>-1678.83</v>
          </cell>
          <cell r="W645">
            <v>0</v>
          </cell>
          <cell r="X645">
            <v>0</v>
          </cell>
          <cell r="Y645">
            <v>0</v>
          </cell>
          <cell r="Z645">
            <v>0</v>
          </cell>
          <cell r="AA645">
            <v>0</v>
          </cell>
          <cell r="AB645">
            <v>0</v>
          </cell>
          <cell r="AC645">
            <v>0</v>
          </cell>
          <cell r="AD645">
            <v>0</v>
          </cell>
          <cell r="AE645">
            <v>0</v>
          </cell>
          <cell r="AF645">
            <v>0</v>
          </cell>
        </row>
        <row r="646">
          <cell r="A646">
            <v>1800023</v>
          </cell>
          <cell r="H646">
            <v>11470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row>
        <row r="647">
          <cell r="A647">
            <v>1800023</v>
          </cell>
          <cell r="H647">
            <v>11470</v>
          </cell>
          <cell r="K647">
            <v>0</v>
          </cell>
          <cell r="L647">
            <v>0</v>
          </cell>
          <cell r="M647">
            <v>-8951.75</v>
          </cell>
          <cell r="N647">
            <v>0</v>
          </cell>
          <cell r="O647">
            <v>0</v>
          </cell>
          <cell r="P647">
            <v>0</v>
          </cell>
          <cell r="Q647">
            <v>0</v>
          </cell>
          <cell r="R647">
            <v>0</v>
          </cell>
          <cell r="S647">
            <v>0</v>
          </cell>
          <cell r="T647">
            <v>0</v>
          </cell>
          <cell r="U647">
            <v>0</v>
          </cell>
          <cell r="V647">
            <v>-1007.3</v>
          </cell>
          <cell r="W647">
            <v>0</v>
          </cell>
          <cell r="X647">
            <v>0</v>
          </cell>
          <cell r="Y647">
            <v>0</v>
          </cell>
          <cell r="Z647">
            <v>0</v>
          </cell>
          <cell r="AA647">
            <v>0</v>
          </cell>
          <cell r="AB647">
            <v>0</v>
          </cell>
          <cell r="AC647">
            <v>0</v>
          </cell>
          <cell r="AD647">
            <v>0</v>
          </cell>
          <cell r="AE647">
            <v>0</v>
          </cell>
          <cell r="AF647">
            <v>0</v>
          </cell>
        </row>
        <row r="648">
          <cell r="A648">
            <v>1800023</v>
          </cell>
          <cell r="H648">
            <v>11470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row>
        <row r="649">
          <cell r="A649">
            <v>1800024</v>
          </cell>
          <cell r="B649" t="str">
            <v>1800024</v>
          </cell>
          <cell r="G649" t="str">
            <v>USB STORAGE DEVISE</v>
          </cell>
          <cell r="H649">
            <v>11500</v>
          </cell>
          <cell r="K649">
            <v>0</v>
          </cell>
          <cell r="L649">
            <v>0</v>
          </cell>
          <cell r="M649">
            <v>-4683.18</v>
          </cell>
          <cell r="N649">
            <v>0</v>
          </cell>
          <cell r="O649">
            <v>0</v>
          </cell>
          <cell r="P649">
            <v>0</v>
          </cell>
          <cell r="Q649">
            <v>0</v>
          </cell>
          <cell r="R649">
            <v>0</v>
          </cell>
          <cell r="S649">
            <v>0</v>
          </cell>
          <cell r="T649">
            <v>0</v>
          </cell>
          <cell r="U649">
            <v>0</v>
          </cell>
          <cell r="V649">
            <v>-2726.73</v>
          </cell>
          <cell r="W649">
            <v>0</v>
          </cell>
          <cell r="X649">
            <v>0</v>
          </cell>
          <cell r="Y649">
            <v>0</v>
          </cell>
          <cell r="Z649">
            <v>0</v>
          </cell>
          <cell r="AA649">
            <v>0</v>
          </cell>
          <cell r="AB649">
            <v>0</v>
          </cell>
          <cell r="AC649">
            <v>0</v>
          </cell>
          <cell r="AD649">
            <v>0</v>
          </cell>
          <cell r="AE649">
            <v>0</v>
          </cell>
          <cell r="AF649">
            <v>0</v>
          </cell>
        </row>
        <row r="650">
          <cell r="A650">
            <v>1800024</v>
          </cell>
          <cell r="H650">
            <v>11500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row>
        <row r="651">
          <cell r="A651">
            <v>1800024</v>
          </cell>
          <cell r="H651">
            <v>11500</v>
          </cell>
          <cell r="K651">
            <v>0</v>
          </cell>
          <cell r="L651">
            <v>0</v>
          </cell>
          <cell r="M651">
            <v>-7409.91</v>
          </cell>
          <cell r="N651">
            <v>0</v>
          </cell>
          <cell r="O651">
            <v>0</v>
          </cell>
          <cell r="P651">
            <v>0</v>
          </cell>
          <cell r="Q651">
            <v>0</v>
          </cell>
          <cell r="R651">
            <v>0</v>
          </cell>
          <cell r="S651">
            <v>0</v>
          </cell>
          <cell r="T651">
            <v>0</v>
          </cell>
          <cell r="U651">
            <v>0</v>
          </cell>
          <cell r="V651">
            <v>-1636.04</v>
          </cell>
          <cell r="W651">
            <v>0</v>
          </cell>
          <cell r="X651">
            <v>0</v>
          </cell>
          <cell r="Y651">
            <v>0</v>
          </cell>
          <cell r="Z651">
            <v>0</v>
          </cell>
          <cell r="AA651">
            <v>0</v>
          </cell>
          <cell r="AB651">
            <v>0</v>
          </cell>
          <cell r="AC651">
            <v>0</v>
          </cell>
          <cell r="AD651">
            <v>0</v>
          </cell>
          <cell r="AE651">
            <v>0</v>
          </cell>
          <cell r="AF651">
            <v>0</v>
          </cell>
        </row>
        <row r="652">
          <cell r="A652">
            <v>1800024</v>
          </cell>
          <cell r="H652">
            <v>11500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row>
        <row r="653">
          <cell r="A653">
            <v>1800025</v>
          </cell>
          <cell r="B653" t="str">
            <v>1800025</v>
          </cell>
          <cell r="G653" t="str">
            <v>RAM</v>
          </cell>
          <cell r="H653">
            <v>8600</v>
          </cell>
          <cell r="K653">
            <v>0</v>
          </cell>
          <cell r="L653">
            <v>0</v>
          </cell>
          <cell r="M653">
            <v>-3440</v>
          </cell>
          <cell r="N653">
            <v>0</v>
          </cell>
          <cell r="O653">
            <v>0</v>
          </cell>
          <cell r="P653">
            <v>0</v>
          </cell>
          <cell r="Q653">
            <v>0</v>
          </cell>
          <cell r="R653">
            <v>0</v>
          </cell>
          <cell r="S653">
            <v>0</v>
          </cell>
          <cell r="T653">
            <v>0</v>
          </cell>
          <cell r="U653">
            <v>0</v>
          </cell>
          <cell r="V653">
            <v>-2064</v>
          </cell>
          <cell r="W653">
            <v>0</v>
          </cell>
          <cell r="X653">
            <v>0</v>
          </cell>
          <cell r="Y653">
            <v>0</v>
          </cell>
          <cell r="Z653">
            <v>0</v>
          </cell>
          <cell r="AA653">
            <v>0</v>
          </cell>
          <cell r="AB653">
            <v>0</v>
          </cell>
          <cell r="AC653">
            <v>0</v>
          </cell>
          <cell r="AD653">
            <v>0</v>
          </cell>
          <cell r="AE653">
            <v>0</v>
          </cell>
          <cell r="AF653">
            <v>0</v>
          </cell>
        </row>
        <row r="654">
          <cell r="A654">
            <v>1800025</v>
          </cell>
          <cell r="H654">
            <v>8600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row>
        <row r="655">
          <cell r="A655">
            <v>1800025</v>
          </cell>
          <cell r="H655">
            <v>8600</v>
          </cell>
          <cell r="K655">
            <v>0</v>
          </cell>
          <cell r="L655">
            <v>0</v>
          </cell>
          <cell r="M655">
            <v>-5504</v>
          </cell>
          <cell r="N655">
            <v>0</v>
          </cell>
          <cell r="O655">
            <v>0</v>
          </cell>
          <cell r="P655">
            <v>0</v>
          </cell>
          <cell r="Q655">
            <v>0</v>
          </cell>
          <cell r="R655">
            <v>0</v>
          </cell>
          <cell r="S655">
            <v>0</v>
          </cell>
          <cell r="T655">
            <v>0</v>
          </cell>
          <cell r="U655">
            <v>0</v>
          </cell>
          <cell r="V655">
            <v>-1238.4000000000001</v>
          </cell>
          <cell r="W655">
            <v>0</v>
          </cell>
          <cell r="X655">
            <v>0</v>
          </cell>
          <cell r="Y655">
            <v>0</v>
          </cell>
          <cell r="Z655">
            <v>0</v>
          </cell>
          <cell r="AA655">
            <v>0</v>
          </cell>
          <cell r="AB655">
            <v>0</v>
          </cell>
          <cell r="AC655">
            <v>0</v>
          </cell>
          <cell r="AD655">
            <v>0</v>
          </cell>
          <cell r="AE655">
            <v>0</v>
          </cell>
          <cell r="AF655">
            <v>0</v>
          </cell>
        </row>
        <row r="656">
          <cell r="A656">
            <v>1800025</v>
          </cell>
          <cell r="H656">
            <v>8600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row>
        <row r="657">
          <cell r="A657">
            <v>1800026</v>
          </cell>
          <cell r="B657" t="str">
            <v>1800026</v>
          </cell>
          <cell r="G657" t="str">
            <v>USB STORAGE DEVISE</v>
          </cell>
          <cell r="H657">
            <v>9000</v>
          </cell>
          <cell r="K657">
            <v>0</v>
          </cell>
          <cell r="L657">
            <v>0</v>
          </cell>
          <cell r="M657">
            <v>-3244.93</v>
          </cell>
          <cell r="N657">
            <v>0</v>
          </cell>
          <cell r="O657">
            <v>0</v>
          </cell>
          <cell r="P657">
            <v>0</v>
          </cell>
          <cell r="Q657">
            <v>0</v>
          </cell>
          <cell r="R657">
            <v>0</v>
          </cell>
          <cell r="S657">
            <v>0</v>
          </cell>
          <cell r="T657">
            <v>0</v>
          </cell>
          <cell r="U657">
            <v>0</v>
          </cell>
          <cell r="V657">
            <v>-2302.0300000000002</v>
          </cell>
          <cell r="W657">
            <v>0</v>
          </cell>
          <cell r="X657">
            <v>0</v>
          </cell>
          <cell r="Y657">
            <v>0</v>
          </cell>
          <cell r="Z657">
            <v>0</v>
          </cell>
          <cell r="AA657">
            <v>0</v>
          </cell>
          <cell r="AB657">
            <v>0</v>
          </cell>
          <cell r="AC657">
            <v>0</v>
          </cell>
          <cell r="AD657">
            <v>0</v>
          </cell>
          <cell r="AE657">
            <v>0</v>
          </cell>
          <cell r="AF657">
            <v>0</v>
          </cell>
        </row>
        <row r="658">
          <cell r="A658">
            <v>1800026</v>
          </cell>
          <cell r="H658">
            <v>9000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row>
        <row r="659">
          <cell r="A659">
            <v>1800026</v>
          </cell>
          <cell r="H659">
            <v>9000</v>
          </cell>
          <cell r="K659">
            <v>0</v>
          </cell>
          <cell r="L659">
            <v>0</v>
          </cell>
          <cell r="M659">
            <v>-5546.96</v>
          </cell>
          <cell r="N659">
            <v>0</v>
          </cell>
          <cell r="O659">
            <v>0</v>
          </cell>
          <cell r="P659">
            <v>0</v>
          </cell>
          <cell r="Q659">
            <v>0</v>
          </cell>
          <cell r="R659">
            <v>0</v>
          </cell>
          <cell r="S659">
            <v>0</v>
          </cell>
          <cell r="T659">
            <v>0</v>
          </cell>
          <cell r="U659">
            <v>0</v>
          </cell>
          <cell r="V659">
            <v>-1381.22</v>
          </cell>
          <cell r="W659">
            <v>0</v>
          </cell>
          <cell r="X659">
            <v>0</v>
          </cell>
          <cell r="Y659">
            <v>0</v>
          </cell>
          <cell r="Z659">
            <v>0</v>
          </cell>
          <cell r="AA659">
            <v>0</v>
          </cell>
          <cell r="AB659">
            <v>0</v>
          </cell>
          <cell r="AC659">
            <v>0</v>
          </cell>
          <cell r="AD659">
            <v>0</v>
          </cell>
          <cell r="AE659">
            <v>0</v>
          </cell>
          <cell r="AF659">
            <v>0</v>
          </cell>
        </row>
        <row r="660">
          <cell r="A660">
            <v>1800026</v>
          </cell>
          <cell r="H660">
            <v>9000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row>
        <row r="661">
          <cell r="A661">
            <v>1800027</v>
          </cell>
          <cell r="B661" t="str">
            <v>1800027</v>
          </cell>
          <cell r="G661" t="str">
            <v>RAM</v>
          </cell>
          <cell r="H661">
            <v>9600</v>
          </cell>
          <cell r="K661">
            <v>0</v>
          </cell>
          <cell r="L661">
            <v>0</v>
          </cell>
          <cell r="M661">
            <v>-9600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0</v>
          </cell>
        </row>
        <row r="662">
          <cell r="A662">
            <v>1800027</v>
          </cell>
          <cell r="H662">
            <v>9600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row>
        <row r="663">
          <cell r="A663">
            <v>1800027</v>
          </cell>
          <cell r="H663">
            <v>9600</v>
          </cell>
          <cell r="K663">
            <v>0</v>
          </cell>
          <cell r="L663">
            <v>0</v>
          </cell>
          <cell r="M663">
            <v>-9600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row>
        <row r="664">
          <cell r="A664">
            <v>1800027</v>
          </cell>
          <cell r="H664">
            <v>9600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row>
        <row r="665">
          <cell r="A665">
            <v>1800028</v>
          </cell>
          <cell r="B665" t="str">
            <v>1800028</v>
          </cell>
          <cell r="G665" t="str">
            <v>RAM</v>
          </cell>
          <cell r="H665">
            <v>21300</v>
          </cell>
          <cell r="K665">
            <v>0</v>
          </cell>
          <cell r="L665">
            <v>0</v>
          </cell>
          <cell r="M665">
            <v>-6932.71</v>
          </cell>
          <cell r="N665">
            <v>0</v>
          </cell>
          <cell r="O665">
            <v>0</v>
          </cell>
          <cell r="P665">
            <v>0</v>
          </cell>
          <cell r="Q665">
            <v>0</v>
          </cell>
          <cell r="R665">
            <v>0</v>
          </cell>
          <cell r="S665">
            <v>0</v>
          </cell>
          <cell r="T665">
            <v>0</v>
          </cell>
          <cell r="U665">
            <v>0</v>
          </cell>
          <cell r="V665">
            <v>-5746.92</v>
          </cell>
          <cell r="W665">
            <v>0</v>
          </cell>
          <cell r="X665">
            <v>0</v>
          </cell>
          <cell r="Y665">
            <v>0</v>
          </cell>
          <cell r="Z665">
            <v>0</v>
          </cell>
          <cell r="AA665">
            <v>0</v>
          </cell>
          <cell r="AB665">
            <v>0</v>
          </cell>
          <cell r="AC665">
            <v>0</v>
          </cell>
          <cell r="AD665">
            <v>0</v>
          </cell>
          <cell r="AE665">
            <v>0</v>
          </cell>
          <cell r="AF665">
            <v>0</v>
          </cell>
        </row>
        <row r="666">
          <cell r="A666">
            <v>1800028</v>
          </cell>
          <cell r="H666">
            <v>21300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row>
        <row r="667">
          <cell r="A667">
            <v>1800028</v>
          </cell>
          <cell r="H667">
            <v>21300</v>
          </cell>
          <cell r="K667">
            <v>0</v>
          </cell>
          <cell r="L667">
            <v>0</v>
          </cell>
          <cell r="M667">
            <v>-12679.63</v>
          </cell>
          <cell r="N667">
            <v>0</v>
          </cell>
          <cell r="O667">
            <v>0</v>
          </cell>
          <cell r="P667">
            <v>0</v>
          </cell>
          <cell r="Q667">
            <v>0</v>
          </cell>
          <cell r="R667">
            <v>0</v>
          </cell>
          <cell r="S667">
            <v>0</v>
          </cell>
          <cell r="T667">
            <v>0</v>
          </cell>
          <cell r="U667">
            <v>0</v>
          </cell>
          <cell r="V667">
            <v>-3448.15</v>
          </cell>
          <cell r="W667">
            <v>0</v>
          </cell>
          <cell r="X667">
            <v>0</v>
          </cell>
          <cell r="Y667">
            <v>0</v>
          </cell>
          <cell r="Z667">
            <v>0</v>
          </cell>
          <cell r="AA667">
            <v>0</v>
          </cell>
          <cell r="AB667">
            <v>0</v>
          </cell>
          <cell r="AC667">
            <v>0</v>
          </cell>
          <cell r="AD667">
            <v>0</v>
          </cell>
          <cell r="AE667">
            <v>0</v>
          </cell>
          <cell r="AF667">
            <v>0</v>
          </cell>
        </row>
        <row r="668">
          <cell r="A668">
            <v>1800028</v>
          </cell>
          <cell r="H668">
            <v>21300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cell r="AE668">
            <v>0</v>
          </cell>
          <cell r="AF668">
            <v>0</v>
          </cell>
        </row>
        <row r="669">
          <cell r="A669">
            <v>1800029</v>
          </cell>
          <cell r="B669" t="str">
            <v>1800029</v>
          </cell>
          <cell r="G669" t="str">
            <v>UPS - Ahmedabad</v>
          </cell>
          <cell r="H669">
            <v>19000</v>
          </cell>
          <cell r="K669">
            <v>0</v>
          </cell>
          <cell r="L669">
            <v>0</v>
          </cell>
          <cell r="M669">
            <v>-14896</v>
          </cell>
          <cell r="N669">
            <v>0</v>
          </cell>
          <cell r="O669">
            <v>0</v>
          </cell>
          <cell r="P669">
            <v>0</v>
          </cell>
          <cell r="Q669">
            <v>0</v>
          </cell>
          <cell r="R669">
            <v>0</v>
          </cell>
          <cell r="S669">
            <v>0</v>
          </cell>
          <cell r="T669">
            <v>0</v>
          </cell>
          <cell r="U669">
            <v>0</v>
          </cell>
          <cell r="V669">
            <v>-4607.5200000000004</v>
          </cell>
          <cell r="W669">
            <v>0</v>
          </cell>
          <cell r="X669">
            <v>0</v>
          </cell>
          <cell r="Y669">
            <v>0</v>
          </cell>
          <cell r="Z669">
            <v>0</v>
          </cell>
          <cell r="AA669">
            <v>0</v>
          </cell>
          <cell r="AB669">
            <v>13600</v>
          </cell>
          <cell r="AC669">
            <v>0</v>
          </cell>
          <cell r="AD669">
            <v>0</v>
          </cell>
          <cell r="AE669">
            <v>0</v>
          </cell>
          <cell r="AF669">
            <v>0</v>
          </cell>
        </row>
        <row r="670">
          <cell r="A670">
            <v>1800029</v>
          </cell>
          <cell r="H670">
            <v>19000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13600</v>
          </cell>
          <cell r="AC670">
            <v>0</v>
          </cell>
          <cell r="AD670">
            <v>0</v>
          </cell>
          <cell r="AE670">
            <v>0</v>
          </cell>
          <cell r="AF670">
            <v>0</v>
          </cell>
        </row>
        <row r="671">
          <cell r="A671">
            <v>1800029</v>
          </cell>
          <cell r="H671">
            <v>32600</v>
          </cell>
          <cell r="K671">
            <v>0</v>
          </cell>
          <cell r="L671">
            <v>0</v>
          </cell>
          <cell r="M671">
            <v>-19503.52</v>
          </cell>
          <cell r="N671">
            <v>0</v>
          </cell>
          <cell r="O671">
            <v>0</v>
          </cell>
          <cell r="P671">
            <v>0</v>
          </cell>
          <cell r="Q671">
            <v>0</v>
          </cell>
          <cell r="R671">
            <v>0</v>
          </cell>
          <cell r="S671">
            <v>0</v>
          </cell>
          <cell r="T671">
            <v>0</v>
          </cell>
          <cell r="U671">
            <v>0</v>
          </cell>
          <cell r="V671">
            <v>-5238.59</v>
          </cell>
          <cell r="W671">
            <v>0</v>
          </cell>
          <cell r="X671">
            <v>0</v>
          </cell>
          <cell r="Y671">
            <v>0</v>
          </cell>
          <cell r="Z671">
            <v>0</v>
          </cell>
          <cell r="AA671">
            <v>0</v>
          </cell>
          <cell r="AB671">
            <v>0</v>
          </cell>
          <cell r="AC671">
            <v>0</v>
          </cell>
          <cell r="AD671">
            <v>0</v>
          </cell>
          <cell r="AE671">
            <v>0</v>
          </cell>
          <cell r="AF671">
            <v>0</v>
          </cell>
        </row>
        <row r="672">
          <cell r="A672">
            <v>1800029</v>
          </cell>
          <cell r="H672">
            <v>32600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row>
        <row r="673">
          <cell r="A673">
            <v>1800030</v>
          </cell>
          <cell r="B673" t="str">
            <v>1800030</v>
          </cell>
          <cell r="G673" t="str">
            <v>UPS - Ahmedabad</v>
          </cell>
          <cell r="H673">
            <v>3500</v>
          </cell>
          <cell r="K673">
            <v>0</v>
          </cell>
          <cell r="L673">
            <v>0</v>
          </cell>
          <cell r="M673">
            <v>-3500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row>
        <row r="674">
          <cell r="A674">
            <v>1800030</v>
          </cell>
          <cell r="H674">
            <v>3500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row>
        <row r="675">
          <cell r="A675">
            <v>1800030</v>
          </cell>
          <cell r="H675">
            <v>3500</v>
          </cell>
          <cell r="K675">
            <v>0</v>
          </cell>
          <cell r="L675">
            <v>0</v>
          </cell>
          <cell r="M675">
            <v>-3500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row>
        <row r="676">
          <cell r="A676">
            <v>1800030</v>
          </cell>
          <cell r="H676">
            <v>3500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row>
        <row r="677">
          <cell r="A677">
            <v>1800031</v>
          </cell>
          <cell r="B677" t="str">
            <v>1800031</v>
          </cell>
          <cell r="G677" t="str">
            <v>BATTERY - BARODA</v>
          </cell>
          <cell r="H677">
            <v>46000</v>
          </cell>
          <cell r="K677">
            <v>0</v>
          </cell>
          <cell r="L677">
            <v>0</v>
          </cell>
          <cell r="M677">
            <v>-27443.73</v>
          </cell>
          <cell r="N677">
            <v>0</v>
          </cell>
          <cell r="O677">
            <v>0</v>
          </cell>
          <cell r="P677">
            <v>0</v>
          </cell>
          <cell r="Q677">
            <v>0</v>
          </cell>
          <cell r="R677">
            <v>0</v>
          </cell>
          <cell r="S677">
            <v>0</v>
          </cell>
          <cell r="T677">
            <v>0</v>
          </cell>
          <cell r="U677">
            <v>0</v>
          </cell>
          <cell r="V677">
            <v>-7422.51</v>
          </cell>
          <cell r="W677">
            <v>0</v>
          </cell>
          <cell r="X677">
            <v>0</v>
          </cell>
          <cell r="Y677">
            <v>0</v>
          </cell>
          <cell r="Z677">
            <v>0</v>
          </cell>
          <cell r="AA677">
            <v>0</v>
          </cell>
          <cell r="AB677">
            <v>0</v>
          </cell>
          <cell r="AC677">
            <v>0</v>
          </cell>
          <cell r="AD677">
            <v>0</v>
          </cell>
          <cell r="AE677">
            <v>0</v>
          </cell>
          <cell r="AF677">
            <v>0</v>
          </cell>
        </row>
        <row r="678">
          <cell r="A678">
            <v>1800031</v>
          </cell>
          <cell r="H678">
            <v>46000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row>
        <row r="679">
          <cell r="A679">
            <v>1800031</v>
          </cell>
          <cell r="H679">
            <v>46000</v>
          </cell>
          <cell r="K679">
            <v>0</v>
          </cell>
          <cell r="L679">
            <v>0</v>
          </cell>
          <cell r="M679">
            <v>-34866.239999999998</v>
          </cell>
          <cell r="N679">
            <v>0</v>
          </cell>
          <cell r="O679">
            <v>0</v>
          </cell>
          <cell r="P679">
            <v>0</v>
          </cell>
          <cell r="Q679">
            <v>0</v>
          </cell>
          <cell r="R679">
            <v>0</v>
          </cell>
          <cell r="S679">
            <v>0</v>
          </cell>
          <cell r="T679">
            <v>0</v>
          </cell>
          <cell r="U679">
            <v>0</v>
          </cell>
          <cell r="V679">
            <v>-4453.5</v>
          </cell>
          <cell r="W679">
            <v>0</v>
          </cell>
          <cell r="X679">
            <v>0</v>
          </cell>
          <cell r="Y679">
            <v>0</v>
          </cell>
          <cell r="Z679">
            <v>0</v>
          </cell>
          <cell r="AA679">
            <v>0</v>
          </cell>
          <cell r="AB679">
            <v>0</v>
          </cell>
          <cell r="AC679">
            <v>0</v>
          </cell>
          <cell r="AD679">
            <v>0</v>
          </cell>
          <cell r="AE679">
            <v>0</v>
          </cell>
          <cell r="AF679">
            <v>0</v>
          </cell>
        </row>
        <row r="680">
          <cell r="A680">
            <v>1800031</v>
          </cell>
          <cell r="H680">
            <v>46000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row>
        <row r="681">
          <cell r="A681">
            <v>1800032</v>
          </cell>
          <cell r="B681" t="str">
            <v>1800032</v>
          </cell>
          <cell r="G681" t="str">
            <v>UPS - AHMEDABAD</v>
          </cell>
          <cell r="H681">
            <v>8650</v>
          </cell>
          <cell r="K681">
            <v>0</v>
          </cell>
          <cell r="L681">
            <v>0</v>
          </cell>
          <cell r="M681">
            <v>-3801.26</v>
          </cell>
          <cell r="N681">
            <v>0</v>
          </cell>
          <cell r="O681">
            <v>0</v>
          </cell>
          <cell r="P681">
            <v>0</v>
          </cell>
          <cell r="Q681">
            <v>0</v>
          </cell>
          <cell r="R681">
            <v>0</v>
          </cell>
          <cell r="S681">
            <v>0</v>
          </cell>
          <cell r="T681">
            <v>0</v>
          </cell>
          <cell r="U681">
            <v>0</v>
          </cell>
          <cell r="V681">
            <v>-1939.5</v>
          </cell>
          <cell r="W681">
            <v>0</v>
          </cell>
          <cell r="X681">
            <v>0</v>
          </cell>
          <cell r="Y681">
            <v>0</v>
          </cell>
          <cell r="Z681">
            <v>0</v>
          </cell>
          <cell r="AA681">
            <v>0</v>
          </cell>
          <cell r="AB681">
            <v>0</v>
          </cell>
          <cell r="AC681">
            <v>0</v>
          </cell>
          <cell r="AD681">
            <v>0</v>
          </cell>
          <cell r="AE681">
            <v>0</v>
          </cell>
          <cell r="AF681">
            <v>0</v>
          </cell>
        </row>
        <row r="682">
          <cell r="A682">
            <v>1800032</v>
          </cell>
          <cell r="H682">
            <v>8650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row>
        <row r="683">
          <cell r="A683">
            <v>1800032</v>
          </cell>
          <cell r="H683">
            <v>8650</v>
          </cell>
          <cell r="K683">
            <v>0</v>
          </cell>
          <cell r="L683">
            <v>0</v>
          </cell>
          <cell r="M683">
            <v>-5740.76</v>
          </cell>
          <cell r="N683">
            <v>0</v>
          </cell>
          <cell r="O683">
            <v>0</v>
          </cell>
          <cell r="P683">
            <v>0</v>
          </cell>
          <cell r="Q683">
            <v>0</v>
          </cell>
          <cell r="R683">
            <v>0</v>
          </cell>
          <cell r="S683">
            <v>0</v>
          </cell>
          <cell r="T683">
            <v>0</v>
          </cell>
          <cell r="U683">
            <v>0</v>
          </cell>
          <cell r="V683">
            <v>-1163.7</v>
          </cell>
          <cell r="W683">
            <v>0</v>
          </cell>
          <cell r="X683">
            <v>0</v>
          </cell>
          <cell r="Y683">
            <v>0</v>
          </cell>
          <cell r="Z683">
            <v>0</v>
          </cell>
          <cell r="AA683">
            <v>0</v>
          </cell>
          <cell r="AB683">
            <v>0</v>
          </cell>
          <cell r="AC683">
            <v>0</v>
          </cell>
          <cell r="AD683">
            <v>0</v>
          </cell>
          <cell r="AE683">
            <v>0</v>
          </cell>
          <cell r="AF683">
            <v>0</v>
          </cell>
        </row>
        <row r="684">
          <cell r="A684">
            <v>1800032</v>
          </cell>
          <cell r="H684">
            <v>8650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row>
        <row r="685">
          <cell r="A685">
            <v>1800033</v>
          </cell>
          <cell r="B685" t="str">
            <v>1800033</v>
          </cell>
          <cell r="G685" t="str">
            <v>USB STORAGE DEVISE</v>
          </cell>
          <cell r="H685">
            <v>9500</v>
          </cell>
          <cell r="K685">
            <v>0</v>
          </cell>
          <cell r="L685">
            <v>0</v>
          </cell>
          <cell r="M685">
            <v>-9500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0</v>
          </cell>
        </row>
        <row r="686">
          <cell r="A686">
            <v>1800033</v>
          </cell>
          <cell r="H686">
            <v>9500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row>
        <row r="687">
          <cell r="A687">
            <v>1800033</v>
          </cell>
          <cell r="H687">
            <v>9500</v>
          </cell>
          <cell r="K687">
            <v>0</v>
          </cell>
          <cell r="L687">
            <v>0</v>
          </cell>
          <cell r="M687">
            <v>-9500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row>
        <row r="688">
          <cell r="A688">
            <v>1800033</v>
          </cell>
          <cell r="H688">
            <v>9500</v>
          </cell>
          <cell r="K688">
            <v>0</v>
          </cell>
          <cell r="L688">
            <v>0</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v>0</v>
          </cell>
          <cell r="AF688">
            <v>0</v>
          </cell>
        </row>
        <row r="689">
          <cell r="A689">
            <v>1800034</v>
          </cell>
          <cell r="B689" t="str">
            <v>1800034</v>
          </cell>
          <cell r="G689" t="str">
            <v>PRINTER -AHMEDABD</v>
          </cell>
          <cell r="H689">
            <v>9500</v>
          </cell>
          <cell r="K689">
            <v>0</v>
          </cell>
          <cell r="L689">
            <v>0</v>
          </cell>
          <cell r="M689">
            <v>-374.79</v>
          </cell>
          <cell r="N689">
            <v>0</v>
          </cell>
          <cell r="O689">
            <v>0</v>
          </cell>
          <cell r="P689">
            <v>0</v>
          </cell>
          <cell r="Q689">
            <v>0</v>
          </cell>
          <cell r="R689">
            <v>0</v>
          </cell>
          <cell r="S689">
            <v>0</v>
          </cell>
          <cell r="T689">
            <v>0</v>
          </cell>
          <cell r="U689">
            <v>0</v>
          </cell>
          <cell r="V689">
            <v>-3650.08</v>
          </cell>
          <cell r="W689">
            <v>0</v>
          </cell>
          <cell r="X689">
            <v>0</v>
          </cell>
          <cell r="Y689">
            <v>0</v>
          </cell>
          <cell r="Z689">
            <v>0</v>
          </cell>
          <cell r="AA689">
            <v>0</v>
          </cell>
          <cell r="AB689">
            <v>0</v>
          </cell>
          <cell r="AC689">
            <v>0</v>
          </cell>
          <cell r="AD689">
            <v>0</v>
          </cell>
          <cell r="AE689">
            <v>0</v>
          </cell>
          <cell r="AF689">
            <v>0</v>
          </cell>
        </row>
        <row r="690">
          <cell r="A690">
            <v>1800034</v>
          </cell>
          <cell r="H690">
            <v>9500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row>
        <row r="691">
          <cell r="A691">
            <v>1800034</v>
          </cell>
          <cell r="H691">
            <v>9500</v>
          </cell>
          <cell r="K691">
            <v>0</v>
          </cell>
          <cell r="L691">
            <v>0</v>
          </cell>
          <cell r="M691">
            <v>-4024.87</v>
          </cell>
          <cell r="N691">
            <v>0</v>
          </cell>
          <cell r="O691">
            <v>0</v>
          </cell>
          <cell r="P691">
            <v>0</v>
          </cell>
          <cell r="Q691">
            <v>0</v>
          </cell>
          <cell r="R691">
            <v>0</v>
          </cell>
          <cell r="S691">
            <v>0</v>
          </cell>
          <cell r="T691">
            <v>0</v>
          </cell>
          <cell r="U691">
            <v>0</v>
          </cell>
          <cell r="V691">
            <v>-2190.0500000000002</v>
          </cell>
          <cell r="W691">
            <v>0</v>
          </cell>
          <cell r="X691">
            <v>0</v>
          </cell>
          <cell r="Y691">
            <v>0</v>
          </cell>
          <cell r="Z691">
            <v>0</v>
          </cell>
          <cell r="AA691">
            <v>0</v>
          </cell>
          <cell r="AB691">
            <v>0</v>
          </cell>
          <cell r="AC691">
            <v>0</v>
          </cell>
          <cell r="AD691">
            <v>0</v>
          </cell>
          <cell r="AE691">
            <v>0</v>
          </cell>
          <cell r="AF691">
            <v>0</v>
          </cell>
        </row>
        <row r="692">
          <cell r="A692">
            <v>1800034</v>
          </cell>
          <cell r="H692">
            <v>9500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row>
        <row r="693">
          <cell r="A693">
            <v>1800035</v>
          </cell>
          <cell r="B693" t="str">
            <v>1800035</v>
          </cell>
          <cell r="G693" t="str">
            <v>LAPTOP -VAPI</v>
          </cell>
          <cell r="H693">
            <v>35880</v>
          </cell>
          <cell r="K693">
            <v>0</v>
          </cell>
          <cell r="L693">
            <v>0</v>
          </cell>
          <cell r="M693">
            <v>-1651.46</v>
          </cell>
          <cell r="N693">
            <v>0</v>
          </cell>
          <cell r="O693">
            <v>0</v>
          </cell>
          <cell r="P693">
            <v>0</v>
          </cell>
          <cell r="Q693">
            <v>0</v>
          </cell>
          <cell r="R693">
            <v>0</v>
          </cell>
          <cell r="S693">
            <v>0</v>
          </cell>
          <cell r="T693">
            <v>0</v>
          </cell>
          <cell r="U693">
            <v>0</v>
          </cell>
          <cell r="V693">
            <v>-13691.42</v>
          </cell>
          <cell r="W693">
            <v>0</v>
          </cell>
          <cell r="X693">
            <v>0</v>
          </cell>
          <cell r="Y693">
            <v>0</v>
          </cell>
          <cell r="Z693">
            <v>0</v>
          </cell>
          <cell r="AA693">
            <v>0</v>
          </cell>
          <cell r="AB693">
            <v>0</v>
          </cell>
          <cell r="AC693">
            <v>0</v>
          </cell>
          <cell r="AD693">
            <v>0</v>
          </cell>
          <cell r="AE693">
            <v>0</v>
          </cell>
          <cell r="AF693">
            <v>0</v>
          </cell>
        </row>
        <row r="694">
          <cell r="A694">
            <v>1800035</v>
          </cell>
          <cell r="H694">
            <v>35880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row>
        <row r="695">
          <cell r="A695">
            <v>1800035</v>
          </cell>
          <cell r="H695">
            <v>35880</v>
          </cell>
          <cell r="K695">
            <v>0</v>
          </cell>
          <cell r="L695">
            <v>0</v>
          </cell>
          <cell r="M695">
            <v>-15342.88</v>
          </cell>
          <cell r="N695">
            <v>0</v>
          </cell>
          <cell r="O695">
            <v>0</v>
          </cell>
          <cell r="P695">
            <v>0</v>
          </cell>
          <cell r="Q695">
            <v>0</v>
          </cell>
          <cell r="R695">
            <v>0</v>
          </cell>
          <cell r="S695">
            <v>0</v>
          </cell>
          <cell r="T695">
            <v>0</v>
          </cell>
          <cell r="U695">
            <v>0</v>
          </cell>
          <cell r="V695">
            <v>-8214.85</v>
          </cell>
          <cell r="W695">
            <v>0</v>
          </cell>
          <cell r="X695">
            <v>0</v>
          </cell>
          <cell r="Y695">
            <v>0</v>
          </cell>
          <cell r="Z695">
            <v>0</v>
          </cell>
          <cell r="AA695">
            <v>0</v>
          </cell>
          <cell r="AB695">
            <v>0</v>
          </cell>
          <cell r="AC695">
            <v>0</v>
          </cell>
          <cell r="AD695">
            <v>0</v>
          </cell>
          <cell r="AE695">
            <v>0</v>
          </cell>
          <cell r="AF695">
            <v>0</v>
          </cell>
        </row>
        <row r="696">
          <cell r="A696">
            <v>1800035</v>
          </cell>
          <cell r="H696">
            <v>35880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row>
        <row r="697">
          <cell r="A697">
            <v>1800036</v>
          </cell>
          <cell r="B697" t="str">
            <v>1800036</v>
          </cell>
          <cell r="G697" t="str">
            <v>COMPUTER -SERVER</v>
          </cell>
          <cell r="H697">
            <v>18100</v>
          </cell>
          <cell r="K697">
            <v>0</v>
          </cell>
          <cell r="L697">
            <v>0</v>
          </cell>
          <cell r="M697">
            <v>-416.55</v>
          </cell>
          <cell r="N697">
            <v>0</v>
          </cell>
          <cell r="O697">
            <v>0</v>
          </cell>
          <cell r="P697">
            <v>0</v>
          </cell>
          <cell r="Q697">
            <v>0</v>
          </cell>
          <cell r="R697">
            <v>0</v>
          </cell>
          <cell r="S697">
            <v>0</v>
          </cell>
          <cell r="T697">
            <v>0</v>
          </cell>
          <cell r="U697">
            <v>0</v>
          </cell>
          <cell r="V697">
            <v>-7073.38</v>
          </cell>
          <cell r="W697">
            <v>0</v>
          </cell>
          <cell r="X697">
            <v>0</v>
          </cell>
          <cell r="Y697">
            <v>0</v>
          </cell>
          <cell r="Z697">
            <v>0</v>
          </cell>
          <cell r="AA697">
            <v>0</v>
          </cell>
          <cell r="AB697">
            <v>0</v>
          </cell>
          <cell r="AC697">
            <v>0</v>
          </cell>
          <cell r="AD697">
            <v>0</v>
          </cell>
          <cell r="AE697">
            <v>0</v>
          </cell>
          <cell r="AF697">
            <v>0</v>
          </cell>
        </row>
        <row r="698">
          <cell r="A698">
            <v>1800036</v>
          </cell>
          <cell r="H698">
            <v>18100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row>
        <row r="699">
          <cell r="A699">
            <v>1800036</v>
          </cell>
          <cell r="H699">
            <v>18100</v>
          </cell>
          <cell r="K699">
            <v>0</v>
          </cell>
          <cell r="L699">
            <v>0</v>
          </cell>
          <cell r="M699">
            <v>-7489.93</v>
          </cell>
          <cell r="N699">
            <v>0</v>
          </cell>
          <cell r="O699">
            <v>0</v>
          </cell>
          <cell r="P699">
            <v>0</v>
          </cell>
          <cell r="Q699">
            <v>0</v>
          </cell>
          <cell r="R699">
            <v>0</v>
          </cell>
          <cell r="S699">
            <v>0</v>
          </cell>
          <cell r="T699">
            <v>0</v>
          </cell>
          <cell r="U699">
            <v>0</v>
          </cell>
          <cell r="V699">
            <v>-4244.03</v>
          </cell>
          <cell r="W699">
            <v>0</v>
          </cell>
          <cell r="X699">
            <v>0</v>
          </cell>
          <cell r="Y699">
            <v>0</v>
          </cell>
          <cell r="Z699">
            <v>0</v>
          </cell>
          <cell r="AA699">
            <v>0</v>
          </cell>
          <cell r="AB699">
            <v>0</v>
          </cell>
          <cell r="AC699">
            <v>0</v>
          </cell>
          <cell r="AD699">
            <v>0</v>
          </cell>
          <cell r="AE699">
            <v>0</v>
          </cell>
          <cell r="AF699">
            <v>0</v>
          </cell>
        </row>
        <row r="700">
          <cell r="A700">
            <v>1800036</v>
          </cell>
          <cell r="H700">
            <v>18100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row>
        <row r="701">
          <cell r="A701">
            <v>1800037</v>
          </cell>
          <cell r="B701" t="str">
            <v>1800037</v>
          </cell>
          <cell r="G701" t="str">
            <v>COMPUTER - BARODA</v>
          </cell>
          <cell r="H701">
            <v>12575</v>
          </cell>
          <cell r="K701">
            <v>0</v>
          </cell>
          <cell r="L701">
            <v>0</v>
          </cell>
          <cell r="M701">
            <v>-551.23</v>
          </cell>
          <cell r="N701">
            <v>0</v>
          </cell>
          <cell r="O701">
            <v>0</v>
          </cell>
          <cell r="P701">
            <v>0</v>
          </cell>
          <cell r="Q701">
            <v>0</v>
          </cell>
          <cell r="R701">
            <v>0</v>
          </cell>
          <cell r="S701">
            <v>0</v>
          </cell>
          <cell r="T701">
            <v>0</v>
          </cell>
          <cell r="U701">
            <v>0</v>
          </cell>
          <cell r="V701">
            <v>-4809.51</v>
          </cell>
          <cell r="W701">
            <v>0</v>
          </cell>
          <cell r="X701">
            <v>0</v>
          </cell>
          <cell r="Y701">
            <v>0</v>
          </cell>
          <cell r="Z701">
            <v>0</v>
          </cell>
          <cell r="AA701">
            <v>0</v>
          </cell>
          <cell r="AB701">
            <v>0</v>
          </cell>
          <cell r="AC701">
            <v>0</v>
          </cell>
          <cell r="AD701">
            <v>0</v>
          </cell>
          <cell r="AE701">
            <v>0</v>
          </cell>
          <cell r="AF701">
            <v>0</v>
          </cell>
        </row>
        <row r="702">
          <cell r="A702">
            <v>1800037</v>
          </cell>
          <cell r="H702">
            <v>12575</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row>
        <row r="703">
          <cell r="A703">
            <v>1800037</v>
          </cell>
          <cell r="H703">
            <v>12575</v>
          </cell>
          <cell r="K703">
            <v>0</v>
          </cell>
          <cell r="L703">
            <v>0</v>
          </cell>
          <cell r="M703">
            <v>-5360.74</v>
          </cell>
          <cell r="N703">
            <v>0</v>
          </cell>
          <cell r="O703">
            <v>0</v>
          </cell>
          <cell r="P703">
            <v>0</v>
          </cell>
          <cell r="Q703">
            <v>0</v>
          </cell>
          <cell r="R703">
            <v>0</v>
          </cell>
          <cell r="S703">
            <v>0</v>
          </cell>
          <cell r="T703">
            <v>0</v>
          </cell>
          <cell r="U703">
            <v>0</v>
          </cell>
          <cell r="V703">
            <v>-2885.7</v>
          </cell>
          <cell r="W703">
            <v>0</v>
          </cell>
          <cell r="X703">
            <v>0</v>
          </cell>
          <cell r="Y703">
            <v>0</v>
          </cell>
          <cell r="Z703">
            <v>0</v>
          </cell>
          <cell r="AA703">
            <v>0</v>
          </cell>
          <cell r="AB703">
            <v>0</v>
          </cell>
          <cell r="AC703">
            <v>0</v>
          </cell>
          <cell r="AD703">
            <v>0</v>
          </cell>
          <cell r="AE703">
            <v>0</v>
          </cell>
          <cell r="AF703">
            <v>0</v>
          </cell>
        </row>
        <row r="704">
          <cell r="A704">
            <v>1800037</v>
          </cell>
          <cell r="H704">
            <v>12575</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row>
        <row r="705">
          <cell r="A705">
            <v>1800038</v>
          </cell>
          <cell r="B705" t="str">
            <v>1800038</v>
          </cell>
          <cell r="G705" t="str">
            <v>PEN - DRIVE</v>
          </cell>
          <cell r="H705">
            <v>6400</v>
          </cell>
          <cell r="K705">
            <v>0</v>
          </cell>
          <cell r="L705">
            <v>0</v>
          </cell>
          <cell r="M705">
            <v>-133</v>
          </cell>
          <cell r="N705">
            <v>0</v>
          </cell>
          <cell r="O705">
            <v>0</v>
          </cell>
          <cell r="P705">
            <v>0</v>
          </cell>
          <cell r="Q705">
            <v>0</v>
          </cell>
          <cell r="R705">
            <v>0</v>
          </cell>
          <cell r="S705">
            <v>0</v>
          </cell>
          <cell r="T705">
            <v>0</v>
          </cell>
          <cell r="U705">
            <v>0</v>
          </cell>
          <cell r="V705">
            <v>-2506.8000000000002</v>
          </cell>
          <cell r="W705">
            <v>0</v>
          </cell>
          <cell r="X705">
            <v>0</v>
          </cell>
          <cell r="Y705">
            <v>0</v>
          </cell>
          <cell r="Z705">
            <v>0</v>
          </cell>
          <cell r="AA705">
            <v>0</v>
          </cell>
          <cell r="AB705">
            <v>0</v>
          </cell>
          <cell r="AC705">
            <v>0</v>
          </cell>
          <cell r="AD705">
            <v>0</v>
          </cell>
          <cell r="AE705">
            <v>0</v>
          </cell>
          <cell r="AF705">
            <v>0</v>
          </cell>
        </row>
        <row r="706">
          <cell r="A706">
            <v>1800038</v>
          </cell>
          <cell r="H706">
            <v>6400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row>
        <row r="707">
          <cell r="A707">
            <v>1800038</v>
          </cell>
          <cell r="H707">
            <v>6400</v>
          </cell>
          <cell r="K707">
            <v>0</v>
          </cell>
          <cell r="L707">
            <v>0</v>
          </cell>
          <cell r="M707">
            <v>-2639.8</v>
          </cell>
          <cell r="N707">
            <v>0</v>
          </cell>
          <cell r="O707">
            <v>0</v>
          </cell>
          <cell r="P707">
            <v>0</v>
          </cell>
          <cell r="Q707">
            <v>0</v>
          </cell>
          <cell r="R707">
            <v>0</v>
          </cell>
          <cell r="S707">
            <v>0</v>
          </cell>
          <cell r="T707">
            <v>0</v>
          </cell>
          <cell r="U707">
            <v>0</v>
          </cell>
          <cell r="V707">
            <v>-1504.08</v>
          </cell>
          <cell r="W707">
            <v>0</v>
          </cell>
          <cell r="X707">
            <v>0</v>
          </cell>
          <cell r="Y707">
            <v>0</v>
          </cell>
          <cell r="Z707">
            <v>0</v>
          </cell>
          <cell r="AA707">
            <v>0</v>
          </cell>
          <cell r="AB707">
            <v>0</v>
          </cell>
          <cell r="AC707">
            <v>0</v>
          </cell>
          <cell r="AD707">
            <v>0</v>
          </cell>
          <cell r="AE707">
            <v>0</v>
          </cell>
          <cell r="AF707">
            <v>0</v>
          </cell>
        </row>
        <row r="708">
          <cell r="A708">
            <v>1800038</v>
          </cell>
          <cell r="H708">
            <v>6400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row>
        <row r="709">
          <cell r="A709">
            <v>1800039</v>
          </cell>
          <cell r="B709" t="str">
            <v>1800039</v>
          </cell>
          <cell r="G709" t="str">
            <v>SEGATE HDD -BARODA</v>
          </cell>
          <cell r="H709">
            <v>11250</v>
          </cell>
          <cell r="K709">
            <v>0</v>
          </cell>
          <cell r="L709">
            <v>0</v>
          </cell>
          <cell r="M709">
            <v>-147.94999999999999</v>
          </cell>
          <cell r="N709">
            <v>0</v>
          </cell>
          <cell r="O709">
            <v>0</v>
          </cell>
          <cell r="P709">
            <v>0</v>
          </cell>
          <cell r="Q709">
            <v>0</v>
          </cell>
          <cell r="R709">
            <v>0</v>
          </cell>
          <cell r="S709">
            <v>0</v>
          </cell>
          <cell r="T709">
            <v>0</v>
          </cell>
          <cell r="U709">
            <v>0</v>
          </cell>
          <cell r="V709">
            <v>-4440.82</v>
          </cell>
          <cell r="W709">
            <v>0</v>
          </cell>
          <cell r="X709">
            <v>0</v>
          </cell>
          <cell r="Y709">
            <v>0</v>
          </cell>
          <cell r="Z709">
            <v>0</v>
          </cell>
          <cell r="AA709">
            <v>0</v>
          </cell>
          <cell r="AB709">
            <v>0</v>
          </cell>
          <cell r="AC709">
            <v>0</v>
          </cell>
          <cell r="AD709">
            <v>0</v>
          </cell>
          <cell r="AE709">
            <v>0</v>
          </cell>
          <cell r="AF709">
            <v>0</v>
          </cell>
        </row>
        <row r="710">
          <cell r="A710">
            <v>1800039</v>
          </cell>
          <cell r="H710">
            <v>11250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row>
        <row r="711">
          <cell r="A711">
            <v>1800039</v>
          </cell>
          <cell r="H711">
            <v>11250</v>
          </cell>
          <cell r="K711">
            <v>0</v>
          </cell>
          <cell r="L711">
            <v>0</v>
          </cell>
          <cell r="M711">
            <v>-4588.7700000000004</v>
          </cell>
          <cell r="N711">
            <v>0</v>
          </cell>
          <cell r="O711">
            <v>0</v>
          </cell>
          <cell r="P711">
            <v>0</v>
          </cell>
          <cell r="Q711">
            <v>0</v>
          </cell>
          <cell r="R711">
            <v>0</v>
          </cell>
          <cell r="S711">
            <v>0</v>
          </cell>
          <cell r="T711">
            <v>0</v>
          </cell>
          <cell r="U711">
            <v>0</v>
          </cell>
          <cell r="V711">
            <v>-2664.49</v>
          </cell>
          <cell r="W711">
            <v>0</v>
          </cell>
          <cell r="X711">
            <v>0</v>
          </cell>
          <cell r="Y711">
            <v>0</v>
          </cell>
          <cell r="Z711">
            <v>0</v>
          </cell>
          <cell r="AA711">
            <v>0</v>
          </cell>
          <cell r="AB711">
            <v>0</v>
          </cell>
          <cell r="AC711">
            <v>0</v>
          </cell>
          <cell r="AD711">
            <v>0</v>
          </cell>
          <cell r="AE711">
            <v>0</v>
          </cell>
          <cell r="AF711">
            <v>0</v>
          </cell>
        </row>
        <row r="712">
          <cell r="A712">
            <v>1800039</v>
          </cell>
          <cell r="H712">
            <v>11250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row>
        <row r="713">
          <cell r="A713">
            <v>1800040</v>
          </cell>
          <cell r="B713" t="str">
            <v>1800040</v>
          </cell>
          <cell r="G713" t="str">
            <v>MONITOR - LCD SILVER</v>
          </cell>
          <cell r="H713">
            <v>12700</v>
          </cell>
          <cell r="K713">
            <v>0</v>
          </cell>
          <cell r="L713">
            <v>0</v>
          </cell>
          <cell r="M713">
            <v>-389.7</v>
          </cell>
          <cell r="N713">
            <v>0</v>
          </cell>
          <cell r="O713">
            <v>0</v>
          </cell>
          <cell r="P713">
            <v>0</v>
          </cell>
          <cell r="Q713">
            <v>0</v>
          </cell>
          <cell r="R713">
            <v>0</v>
          </cell>
          <cell r="S713">
            <v>0</v>
          </cell>
          <cell r="T713">
            <v>0</v>
          </cell>
          <cell r="U713">
            <v>0</v>
          </cell>
          <cell r="V713">
            <v>-4924.12</v>
          </cell>
          <cell r="W713">
            <v>0</v>
          </cell>
          <cell r="X713">
            <v>0</v>
          </cell>
          <cell r="Y713">
            <v>0</v>
          </cell>
          <cell r="Z713">
            <v>0</v>
          </cell>
          <cell r="AA713">
            <v>0</v>
          </cell>
          <cell r="AB713">
            <v>0</v>
          </cell>
          <cell r="AC713">
            <v>0</v>
          </cell>
          <cell r="AD713">
            <v>0</v>
          </cell>
          <cell r="AE713">
            <v>0</v>
          </cell>
          <cell r="AF713">
            <v>0</v>
          </cell>
        </row>
        <row r="714">
          <cell r="A714">
            <v>1800040</v>
          </cell>
          <cell r="H714">
            <v>12700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row>
        <row r="715">
          <cell r="A715">
            <v>1800040</v>
          </cell>
          <cell r="H715">
            <v>12700</v>
          </cell>
          <cell r="K715">
            <v>0</v>
          </cell>
          <cell r="L715">
            <v>0</v>
          </cell>
          <cell r="M715">
            <v>-5313.82</v>
          </cell>
          <cell r="N715">
            <v>0</v>
          </cell>
          <cell r="O715">
            <v>0</v>
          </cell>
          <cell r="P715">
            <v>0</v>
          </cell>
          <cell r="Q715">
            <v>0</v>
          </cell>
          <cell r="R715">
            <v>0</v>
          </cell>
          <cell r="S715">
            <v>0</v>
          </cell>
          <cell r="T715">
            <v>0</v>
          </cell>
          <cell r="U715">
            <v>0</v>
          </cell>
          <cell r="V715">
            <v>-2954.47</v>
          </cell>
          <cell r="W715">
            <v>0</v>
          </cell>
          <cell r="X715">
            <v>0</v>
          </cell>
          <cell r="Y715">
            <v>0</v>
          </cell>
          <cell r="Z715">
            <v>0</v>
          </cell>
          <cell r="AA715">
            <v>0</v>
          </cell>
          <cell r="AB715">
            <v>0</v>
          </cell>
          <cell r="AC715">
            <v>0</v>
          </cell>
          <cell r="AD715">
            <v>0</v>
          </cell>
          <cell r="AE715">
            <v>0</v>
          </cell>
          <cell r="AF715">
            <v>0</v>
          </cell>
        </row>
        <row r="716">
          <cell r="A716">
            <v>1800040</v>
          </cell>
          <cell r="H716">
            <v>12700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row>
        <row r="717">
          <cell r="A717">
            <v>1800041</v>
          </cell>
          <cell r="B717" t="str">
            <v>1800041</v>
          </cell>
          <cell r="G717" t="str">
            <v>PHOTOSMART PRINTER</v>
          </cell>
          <cell r="H717">
            <v>6950</v>
          </cell>
          <cell r="K717">
            <v>0</v>
          </cell>
          <cell r="L717">
            <v>0</v>
          </cell>
          <cell r="M717">
            <v>-15</v>
          </cell>
          <cell r="N717">
            <v>0</v>
          </cell>
          <cell r="O717">
            <v>0</v>
          </cell>
          <cell r="P717">
            <v>0</v>
          </cell>
          <cell r="Q717">
            <v>0</v>
          </cell>
          <cell r="R717">
            <v>0</v>
          </cell>
          <cell r="S717">
            <v>0</v>
          </cell>
          <cell r="T717">
            <v>0</v>
          </cell>
          <cell r="U717">
            <v>0</v>
          </cell>
          <cell r="V717">
            <v>-2774</v>
          </cell>
          <cell r="W717">
            <v>0</v>
          </cell>
          <cell r="X717">
            <v>0</v>
          </cell>
          <cell r="Y717">
            <v>0</v>
          </cell>
          <cell r="Z717">
            <v>0</v>
          </cell>
          <cell r="AA717">
            <v>0</v>
          </cell>
          <cell r="AB717">
            <v>0</v>
          </cell>
          <cell r="AC717">
            <v>0</v>
          </cell>
          <cell r="AD717">
            <v>0</v>
          </cell>
          <cell r="AE717">
            <v>0</v>
          </cell>
          <cell r="AF717">
            <v>0</v>
          </cell>
        </row>
        <row r="718">
          <cell r="A718">
            <v>1800041</v>
          </cell>
          <cell r="H718">
            <v>6950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row>
        <row r="719">
          <cell r="A719">
            <v>1800041</v>
          </cell>
          <cell r="H719">
            <v>6950</v>
          </cell>
          <cell r="K719">
            <v>0</v>
          </cell>
          <cell r="L719">
            <v>0</v>
          </cell>
          <cell r="M719">
            <v>-2789</v>
          </cell>
          <cell r="N719">
            <v>0</v>
          </cell>
          <cell r="O719">
            <v>0</v>
          </cell>
          <cell r="P719">
            <v>0</v>
          </cell>
          <cell r="Q719">
            <v>0</v>
          </cell>
          <cell r="R719">
            <v>0</v>
          </cell>
          <cell r="S719">
            <v>0</v>
          </cell>
          <cell r="T719">
            <v>0</v>
          </cell>
          <cell r="U719">
            <v>0</v>
          </cell>
          <cell r="V719">
            <v>-1664.4</v>
          </cell>
          <cell r="W719">
            <v>0</v>
          </cell>
          <cell r="X719">
            <v>0</v>
          </cell>
          <cell r="Y719">
            <v>0</v>
          </cell>
          <cell r="Z719">
            <v>0</v>
          </cell>
          <cell r="AA719">
            <v>0</v>
          </cell>
          <cell r="AB719">
            <v>0</v>
          </cell>
          <cell r="AC719">
            <v>0</v>
          </cell>
          <cell r="AD719">
            <v>0</v>
          </cell>
          <cell r="AE719">
            <v>0</v>
          </cell>
          <cell r="AF719">
            <v>0</v>
          </cell>
        </row>
        <row r="720">
          <cell r="A720">
            <v>1800041</v>
          </cell>
          <cell r="H720">
            <v>6950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row>
        <row r="721">
          <cell r="A721">
            <v>1800042</v>
          </cell>
          <cell r="B721" t="str">
            <v>1800042</v>
          </cell>
          <cell r="G721" t="str">
            <v>LINUX VER. 7.3</v>
          </cell>
          <cell r="H721">
            <v>8300</v>
          </cell>
          <cell r="K721">
            <v>0</v>
          </cell>
          <cell r="L721">
            <v>0</v>
          </cell>
          <cell r="M721">
            <v>-5662.37</v>
          </cell>
          <cell r="N721">
            <v>0</v>
          </cell>
          <cell r="O721">
            <v>0</v>
          </cell>
          <cell r="P721">
            <v>0</v>
          </cell>
          <cell r="Q721">
            <v>0</v>
          </cell>
          <cell r="R721">
            <v>0</v>
          </cell>
          <cell r="S721">
            <v>0</v>
          </cell>
          <cell r="T721">
            <v>0</v>
          </cell>
          <cell r="U721">
            <v>0</v>
          </cell>
          <cell r="V721">
            <v>-1055.05</v>
          </cell>
          <cell r="W721">
            <v>0</v>
          </cell>
          <cell r="X721">
            <v>0</v>
          </cell>
          <cell r="Y721">
            <v>0</v>
          </cell>
          <cell r="Z721">
            <v>0</v>
          </cell>
          <cell r="AA721">
            <v>0</v>
          </cell>
          <cell r="AB721">
            <v>0</v>
          </cell>
          <cell r="AC721">
            <v>0</v>
          </cell>
          <cell r="AD721">
            <v>0</v>
          </cell>
          <cell r="AE721">
            <v>0</v>
          </cell>
          <cell r="AF721">
            <v>0</v>
          </cell>
        </row>
        <row r="722">
          <cell r="A722">
            <v>1800042</v>
          </cell>
          <cell r="H722">
            <v>8300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row>
        <row r="723">
          <cell r="A723">
            <v>1800042</v>
          </cell>
          <cell r="H723">
            <v>8300</v>
          </cell>
          <cell r="K723">
            <v>0</v>
          </cell>
          <cell r="L723">
            <v>0</v>
          </cell>
          <cell r="M723">
            <v>-6717.42</v>
          </cell>
          <cell r="N723">
            <v>0</v>
          </cell>
          <cell r="O723">
            <v>0</v>
          </cell>
          <cell r="P723">
            <v>0</v>
          </cell>
          <cell r="Q723">
            <v>0</v>
          </cell>
          <cell r="R723">
            <v>0</v>
          </cell>
          <cell r="S723">
            <v>0</v>
          </cell>
          <cell r="T723">
            <v>0</v>
          </cell>
          <cell r="U723">
            <v>0</v>
          </cell>
          <cell r="V723">
            <v>-633.03</v>
          </cell>
          <cell r="W723">
            <v>0</v>
          </cell>
          <cell r="X723">
            <v>0</v>
          </cell>
          <cell r="Y723">
            <v>0</v>
          </cell>
          <cell r="Z723">
            <v>0</v>
          </cell>
          <cell r="AA723">
            <v>0</v>
          </cell>
          <cell r="AB723">
            <v>0</v>
          </cell>
          <cell r="AC723">
            <v>0</v>
          </cell>
          <cell r="AD723">
            <v>0</v>
          </cell>
          <cell r="AE723">
            <v>0</v>
          </cell>
          <cell r="AF723">
            <v>0</v>
          </cell>
        </row>
        <row r="724">
          <cell r="A724">
            <v>1800042</v>
          </cell>
          <cell r="H724">
            <v>8300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row>
        <row r="725">
          <cell r="A725">
            <v>1800043</v>
          </cell>
          <cell r="B725" t="str">
            <v>1800043</v>
          </cell>
          <cell r="G725" t="str">
            <v>INTERSCAN VIRUS</v>
          </cell>
          <cell r="H725">
            <v>350700</v>
          </cell>
          <cell r="K725">
            <v>0</v>
          </cell>
          <cell r="L725">
            <v>0</v>
          </cell>
          <cell r="M725">
            <v>-235378.31</v>
          </cell>
          <cell r="N725">
            <v>0</v>
          </cell>
          <cell r="O725">
            <v>0</v>
          </cell>
          <cell r="P725">
            <v>0</v>
          </cell>
          <cell r="Q725">
            <v>0</v>
          </cell>
          <cell r="R725">
            <v>0</v>
          </cell>
          <cell r="S725">
            <v>0</v>
          </cell>
          <cell r="T725">
            <v>0</v>
          </cell>
          <cell r="U725">
            <v>0</v>
          </cell>
          <cell r="V725">
            <v>-46128.68</v>
          </cell>
          <cell r="W725">
            <v>0</v>
          </cell>
          <cell r="X725">
            <v>0</v>
          </cell>
          <cell r="Y725">
            <v>0</v>
          </cell>
          <cell r="Z725">
            <v>0</v>
          </cell>
          <cell r="AA725">
            <v>0</v>
          </cell>
          <cell r="AB725">
            <v>0</v>
          </cell>
          <cell r="AC725">
            <v>0</v>
          </cell>
          <cell r="AD725">
            <v>0</v>
          </cell>
          <cell r="AE725">
            <v>0</v>
          </cell>
          <cell r="AF725">
            <v>0</v>
          </cell>
        </row>
        <row r="726">
          <cell r="A726">
            <v>1800043</v>
          </cell>
          <cell r="H726">
            <v>350700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row>
        <row r="727">
          <cell r="A727">
            <v>1800043</v>
          </cell>
          <cell r="H727">
            <v>350700</v>
          </cell>
          <cell r="K727">
            <v>0</v>
          </cell>
          <cell r="L727">
            <v>0</v>
          </cell>
          <cell r="M727">
            <v>-281506.99</v>
          </cell>
          <cell r="N727">
            <v>0</v>
          </cell>
          <cell r="O727">
            <v>0</v>
          </cell>
          <cell r="P727">
            <v>0</v>
          </cell>
          <cell r="Q727">
            <v>0</v>
          </cell>
          <cell r="R727">
            <v>0</v>
          </cell>
          <cell r="S727">
            <v>0</v>
          </cell>
          <cell r="T727">
            <v>0</v>
          </cell>
          <cell r="U727">
            <v>0</v>
          </cell>
          <cell r="V727">
            <v>-27677.200000000001</v>
          </cell>
          <cell r="W727">
            <v>0</v>
          </cell>
          <cell r="X727">
            <v>0</v>
          </cell>
          <cell r="Y727">
            <v>0</v>
          </cell>
          <cell r="Z727">
            <v>0</v>
          </cell>
          <cell r="AA727">
            <v>0</v>
          </cell>
          <cell r="AB727">
            <v>0</v>
          </cell>
          <cell r="AC727">
            <v>0</v>
          </cell>
          <cell r="AD727">
            <v>0</v>
          </cell>
          <cell r="AE727">
            <v>0</v>
          </cell>
          <cell r="AF727">
            <v>0</v>
          </cell>
        </row>
        <row r="728">
          <cell r="A728">
            <v>1800043</v>
          </cell>
          <cell r="H728">
            <v>350700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row>
        <row r="729">
          <cell r="A729">
            <v>1800044</v>
          </cell>
          <cell r="B729" t="str">
            <v>1800044</v>
          </cell>
          <cell r="G729" t="str">
            <v>TALLY (TDS SOFTWARE)</v>
          </cell>
          <cell r="H729">
            <v>5940</v>
          </cell>
          <cell r="K729">
            <v>0</v>
          </cell>
          <cell r="L729">
            <v>0</v>
          </cell>
          <cell r="M729">
            <v>-3963.3</v>
          </cell>
          <cell r="N729">
            <v>0</v>
          </cell>
          <cell r="O729">
            <v>0</v>
          </cell>
          <cell r="P729">
            <v>0</v>
          </cell>
          <cell r="Q729">
            <v>0</v>
          </cell>
          <cell r="R729">
            <v>0</v>
          </cell>
          <cell r="S729">
            <v>0</v>
          </cell>
          <cell r="T729">
            <v>0</v>
          </cell>
          <cell r="U729">
            <v>0</v>
          </cell>
          <cell r="V729">
            <v>-790.68</v>
          </cell>
          <cell r="W729">
            <v>0</v>
          </cell>
          <cell r="X729">
            <v>0</v>
          </cell>
          <cell r="Y729">
            <v>0</v>
          </cell>
          <cell r="Z729">
            <v>0</v>
          </cell>
          <cell r="AA729">
            <v>0</v>
          </cell>
          <cell r="AB729">
            <v>0</v>
          </cell>
          <cell r="AC729">
            <v>0</v>
          </cell>
          <cell r="AD729">
            <v>0</v>
          </cell>
          <cell r="AE729">
            <v>0</v>
          </cell>
          <cell r="AF729">
            <v>0</v>
          </cell>
        </row>
        <row r="730">
          <cell r="A730">
            <v>1800044</v>
          </cell>
          <cell r="H730">
            <v>5940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row>
        <row r="731">
          <cell r="A731">
            <v>1800044</v>
          </cell>
          <cell r="H731">
            <v>5940</v>
          </cell>
          <cell r="K731">
            <v>0</v>
          </cell>
          <cell r="L731">
            <v>0</v>
          </cell>
          <cell r="M731">
            <v>-4753.9799999999996</v>
          </cell>
          <cell r="N731">
            <v>0</v>
          </cell>
          <cell r="O731">
            <v>0</v>
          </cell>
          <cell r="P731">
            <v>0</v>
          </cell>
          <cell r="Q731">
            <v>0</v>
          </cell>
          <cell r="R731">
            <v>0</v>
          </cell>
          <cell r="S731">
            <v>0</v>
          </cell>
          <cell r="T731">
            <v>0</v>
          </cell>
          <cell r="U731">
            <v>0</v>
          </cell>
          <cell r="V731">
            <v>-474.41</v>
          </cell>
          <cell r="W731">
            <v>0</v>
          </cell>
          <cell r="X731">
            <v>0</v>
          </cell>
          <cell r="Y731">
            <v>0</v>
          </cell>
          <cell r="Z731">
            <v>0</v>
          </cell>
          <cell r="AA731">
            <v>0</v>
          </cell>
          <cell r="AB731">
            <v>0</v>
          </cell>
          <cell r="AC731">
            <v>0</v>
          </cell>
          <cell r="AD731">
            <v>0</v>
          </cell>
          <cell r="AE731">
            <v>0</v>
          </cell>
          <cell r="AF731">
            <v>0</v>
          </cell>
        </row>
        <row r="732">
          <cell r="A732">
            <v>1800044</v>
          </cell>
          <cell r="H732">
            <v>5940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row>
        <row r="733">
          <cell r="A733">
            <v>1800045</v>
          </cell>
          <cell r="B733" t="str">
            <v>1800045</v>
          </cell>
          <cell r="G733" t="str">
            <v>TALLY</v>
          </cell>
          <cell r="H733">
            <v>19250</v>
          </cell>
          <cell r="K733">
            <v>0</v>
          </cell>
          <cell r="L733">
            <v>0</v>
          </cell>
          <cell r="M733">
            <v>-13914.85</v>
          </cell>
          <cell r="N733">
            <v>0</v>
          </cell>
          <cell r="O733">
            <v>0</v>
          </cell>
          <cell r="P733">
            <v>0</v>
          </cell>
          <cell r="Q733">
            <v>0</v>
          </cell>
          <cell r="R733">
            <v>0</v>
          </cell>
          <cell r="S733">
            <v>0</v>
          </cell>
          <cell r="T733">
            <v>0</v>
          </cell>
          <cell r="U733">
            <v>0</v>
          </cell>
          <cell r="V733">
            <v>-2134.06</v>
          </cell>
          <cell r="W733">
            <v>0</v>
          </cell>
          <cell r="X733">
            <v>0</v>
          </cell>
          <cell r="Y733">
            <v>0</v>
          </cell>
          <cell r="Z733">
            <v>0</v>
          </cell>
          <cell r="AA733">
            <v>0</v>
          </cell>
          <cell r="AB733">
            <v>0</v>
          </cell>
          <cell r="AC733">
            <v>0</v>
          </cell>
          <cell r="AD733">
            <v>0</v>
          </cell>
          <cell r="AE733">
            <v>0</v>
          </cell>
          <cell r="AF733">
            <v>0</v>
          </cell>
        </row>
        <row r="734">
          <cell r="A734">
            <v>1800045</v>
          </cell>
          <cell r="H734">
            <v>19250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row>
        <row r="735">
          <cell r="A735">
            <v>1800045</v>
          </cell>
          <cell r="H735">
            <v>19250</v>
          </cell>
          <cell r="K735">
            <v>0</v>
          </cell>
          <cell r="L735">
            <v>0</v>
          </cell>
          <cell r="M735">
            <v>-16048.91</v>
          </cell>
          <cell r="N735">
            <v>0</v>
          </cell>
          <cell r="O735">
            <v>0</v>
          </cell>
          <cell r="P735">
            <v>0</v>
          </cell>
          <cell r="Q735">
            <v>0</v>
          </cell>
          <cell r="R735">
            <v>0</v>
          </cell>
          <cell r="S735">
            <v>0</v>
          </cell>
          <cell r="T735">
            <v>0</v>
          </cell>
          <cell r="U735">
            <v>0</v>
          </cell>
          <cell r="V735">
            <v>-1280.44</v>
          </cell>
          <cell r="W735">
            <v>0</v>
          </cell>
          <cell r="X735">
            <v>0</v>
          </cell>
          <cell r="Y735">
            <v>0</v>
          </cell>
          <cell r="Z735">
            <v>0</v>
          </cell>
          <cell r="AA735">
            <v>0</v>
          </cell>
          <cell r="AB735">
            <v>0</v>
          </cell>
          <cell r="AC735">
            <v>0</v>
          </cell>
          <cell r="AD735">
            <v>0</v>
          </cell>
          <cell r="AE735">
            <v>0</v>
          </cell>
          <cell r="AF735">
            <v>0</v>
          </cell>
        </row>
        <row r="736">
          <cell r="A736">
            <v>1800045</v>
          </cell>
          <cell r="H736">
            <v>19250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row>
        <row r="737">
          <cell r="A737">
            <v>1800046</v>
          </cell>
          <cell r="B737" t="str">
            <v>1800046</v>
          </cell>
          <cell r="G737" t="str">
            <v>TALLY MULTIUSER</v>
          </cell>
          <cell r="H737">
            <v>30500</v>
          </cell>
          <cell r="K737">
            <v>0</v>
          </cell>
          <cell r="L737">
            <v>0</v>
          </cell>
          <cell r="M737">
            <v>-18898.3</v>
          </cell>
          <cell r="N737">
            <v>0</v>
          </cell>
          <cell r="O737">
            <v>0</v>
          </cell>
          <cell r="P737">
            <v>0</v>
          </cell>
          <cell r="Q737">
            <v>0</v>
          </cell>
          <cell r="R737">
            <v>0</v>
          </cell>
          <cell r="S737">
            <v>0</v>
          </cell>
          <cell r="T737">
            <v>0</v>
          </cell>
          <cell r="U737">
            <v>0</v>
          </cell>
          <cell r="V737">
            <v>-4640.68</v>
          </cell>
          <cell r="W737">
            <v>0</v>
          </cell>
          <cell r="X737">
            <v>0</v>
          </cell>
          <cell r="Y737">
            <v>0</v>
          </cell>
          <cell r="Z737">
            <v>0</v>
          </cell>
          <cell r="AA737">
            <v>0</v>
          </cell>
          <cell r="AB737">
            <v>0</v>
          </cell>
          <cell r="AC737">
            <v>0</v>
          </cell>
          <cell r="AD737">
            <v>0</v>
          </cell>
          <cell r="AE737">
            <v>0</v>
          </cell>
          <cell r="AF737">
            <v>0</v>
          </cell>
        </row>
        <row r="738">
          <cell r="A738">
            <v>1800046</v>
          </cell>
          <cell r="H738">
            <v>30500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row>
        <row r="739">
          <cell r="A739">
            <v>1800046</v>
          </cell>
          <cell r="H739">
            <v>30500</v>
          </cell>
          <cell r="K739">
            <v>0</v>
          </cell>
          <cell r="L739">
            <v>0</v>
          </cell>
          <cell r="M739">
            <v>-23538.98</v>
          </cell>
          <cell r="N739">
            <v>0</v>
          </cell>
          <cell r="O739">
            <v>0</v>
          </cell>
          <cell r="P739">
            <v>0</v>
          </cell>
          <cell r="Q739">
            <v>0</v>
          </cell>
          <cell r="R739">
            <v>0</v>
          </cell>
          <cell r="S739">
            <v>0</v>
          </cell>
          <cell r="T739">
            <v>0</v>
          </cell>
          <cell r="U739">
            <v>0</v>
          </cell>
          <cell r="V739">
            <v>-2784.41</v>
          </cell>
          <cell r="W739">
            <v>0</v>
          </cell>
          <cell r="X739">
            <v>0</v>
          </cell>
          <cell r="Y739">
            <v>0</v>
          </cell>
          <cell r="Z739">
            <v>0</v>
          </cell>
          <cell r="AA739">
            <v>0</v>
          </cell>
          <cell r="AB739">
            <v>0</v>
          </cell>
          <cell r="AC739">
            <v>0</v>
          </cell>
          <cell r="AD739">
            <v>0</v>
          </cell>
          <cell r="AE739">
            <v>0</v>
          </cell>
          <cell r="AF739">
            <v>0</v>
          </cell>
        </row>
        <row r="740">
          <cell r="A740">
            <v>1800046</v>
          </cell>
          <cell r="H740">
            <v>30500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row>
        <row r="741">
          <cell r="A741">
            <v>1800047</v>
          </cell>
          <cell r="B741" t="str">
            <v>1800047</v>
          </cell>
          <cell r="G741" t="str">
            <v>UPS - Surat</v>
          </cell>
          <cell r="H741">
            <v>22400</v>
          </cell>
          <cell r="K741">
            <v>0</v>
          </cell>
          <cell r="L741">
            <v>0</v>
          </cell>
          <cell r="M741">
            <v>-17562</v>
          </cell>
          <cell r="N741">
            <v>0</v>
          </cell>
          <cell r="O741">
            <v>0</v>
          </cell>
          <cell r="P741">
            <v>0</v>
          </cell>
          <cell r="Q741">
            <v>0</v>
          </cell>
          <cell r="R741">
            <v>0</v>
          </cell>
          <cell r="S741">
            <v>0</v>
          </cell>
          <cell r="T741">
            <v>0</v>
          </cell>
          <cell r="U741">
            <v>0</v>
          </cell>
          <cell r="V741">
            <v>-1935.2</v>
          </cell>
          <cell r="W741">
            <v>0</v>
          </cell>
          <cell r="X741">
            <v>0</v>
          </cell>
          <cell r="Y741">
            <v>0</v>
          </cell>
          <cell r="Z741">
            <v>0</v>
          </cell>
          <cell r="AA741">
            <v>0</v>
          </cell>
          <cell r="AB741">
            <v>0</v>
          </cell>
          <cell r="AC741">
            <v>0</v>
          </cell>
          <cell r="AD741">
            <v>0</v>
          </cell>
          <cell r="AE741">
            <v>0</v>
          </cell>
          <cell r="AF741">
            <v>0</v>
          </cell>
        </row>
        <row r="742">
          <cell r="A742">
            <v>1800047</v>
          </cell>
          <cell r="H742">
            <v>22400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row>
        <row r="743">
          <cell r="A743">
            <v>1800047</v>
          </cell>
          <cell r="H743">
            <v>22400</v>
          </cell>
          <cell r="K743">
            <v>0</v>
          </cell>
          <cell r="L743">
            <v>0</v>
          </cell>
          <cell r="M743">
            <v>-19497.2</v>
          </cell>
          <cell r="N743">
            <v>0</v>
          </cell>
          <cell r="O743">
            <v>0</v>
          </cell>
          <cell r="P743">
            <v>0</v>
          </cell>
          <cell r="Q743">
            <v>0</v>
          </cell>
          <cell r="R743">
            <v>0</v>
          </cell>
          <cell r="S743">
            <v>0</v>
          </cell>
          <cell r="T743">
            <v>0</v>
          </cell>
          <cell r="U743">
            <v>0</v>
          </cell>
          <cell r="V743">
            <v>-1161.1199999999999</v>
          </cell>
          <cell r="W743">
            <v>0</v>
          </cell>
          <cell r="X743">
            <v>0</v>
          </cell>
          <cell r="Y743">
            <v>0</v>
          </cell>
          <cell r="Z743">
            <v>0</v>
          </cell>
          <cell r="AA743">
            <v>0</v>
          </cell>
          <cell r="AB743">
            <v>0</v>
          </cell>
          <cell r="AC743">
            <v>0</v>
          </cell>
          <cell r="AD743">
            <v>0</v>
          </cell>
          <cell r="AE743">
            <v>0</v>
          </cell>
          <cell r="AF743">
            <v>0</v>
          </cell>
        </row>
        <row r="744">
          <cell r="A744">
            <v>1800047</v>
          </cell>
          <cell r="H744">
            <v>22400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row>
        <row r="745">
          <cell r="A745">
            <v>1800048</v>
          </cell>
          <cell r="B745" t="str">
            <v>1800048</v>
          </cell>
          <cell r="G745" t="str">
            <v>PRINTER</v>
          </cell>
          <cell r="H745">
            <v>14950</v>
          </cell>
          <cell r="K745">
            <v>0</v>
          </cell>
          <cell r="L745">
            <v>0</v>
          </cell>
          <cell r="M745">
            <v>-10724.02</v>
          </cell>
          <cell r="N745">
            <v>0</v>
          </cell>
          <cell r="O745">
            <v>0</v>
          </cell>
          <cell r="P745">
            <v>0</v>
          </cell>
          <cell r="Q745">
            <v>0</v>
          </cell>
          <cell r="R745">
            <v>0</v>
          </cell>
          <cell r="S745">
            <v>0</v>
          </cell>
          <cell r="T745">
            <v>0</v>
          </cell>
          <cell r="U745">
            <v>0</v>
          </cell>
          <cell r="V745">
            <v>-1690.39</v>
          </cell>
          <cell r="W745">
            <v>0</v>
          </cell>
          <cell r="X745">
            <v>0</v>
          </cell>
          <cell r="Y745">
            <v>0</v>
          </cell>
          <cell r="Z745">
            <v>0</v>
          </cell>
          <cell r="AA745">
            <v>0</v>
          </cell>
          <cell r="AB745">
            <v>0</v>
          </cell>
          <cell r="AC745">
            <v>0</v>
          </cell>
          <cell r="AD745">
            <v>0</v>
          </cell>
          <cell r="AE745">
            <v>0</v>
          </cell>
          <cell r="AF745">
            <v>0</v>
          </cell>
        </row>
        <row r="746">
          <cell r="A746">
            <v>1800048</v>
          </cell>
          <cell r="H746">
            <v>14950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row>
        <row r="747">
          <cell r="A747">
            <v>1800048</v>
          </cell>
          <cell r="H747">
            <v>14950</v>
          </cell>
          <cell r="K747">
            <v>0</v>
          </cell>
          <cell r="L747">
            <v>0</v>
          </cell>
          <cell r="M747">
            <v>-12414.41</v>
          </cell>
          <cell r="N747">
            <v>0</v>
          </cell>
          <cell r="O747">
            <v>0</v>
          </cell>
          <cell r="P747">
            <v>0</v>
          </cell>
          <cell r="Q747">
            <v>0</v>
          </cell>
          <cell r="R747">
            <v>0</v>
          </cell>
          <cell r="S747">
            <v>0</v>
          </cell>
          <cell r="T747">
            <v>0</v>
          </cell>
          <cell r="U747">
            <v>0</v>
          </cell>
          <cell r="V747">
            <v>-1014.24</v>
          </cell>
          <cell r="W747">
            <v>0</v>
          </cell>
          <cell r="X747">
            <v>0</v>
          </cell>
          <cell r="Y747">
            <v>0</v>
          </cell>
          <cell r="Z747">
            <v>0</v>
          </cell>
          <cell r="AA747">
            <v>0</v>
          </cell>
          <cell r="AB747">
            <v>0</v>
          </cell>
          <cell r="AC747">
            <v>0</v>
          </cell>
          <cell r="AD747">
            <v>0</v>
          </cell>
          <cell r="AE747">
            <v>0</v>
          </cell>
          <cell r="AF747">
            <v>0</v>
          </cell>
        </row>
        <row r="748">
          <cell r="A748">
            <v>1800048</v>
          </cell>
          <cell r="H748">
            <v>14950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row>
        <row r="749">
          <cell r="A749">
            <v>1800049</v>
          </cell>
          <cell r="B749" t="str">
            <v>1800049</v>
          </cell>
          <cell r="G749" t="str">
            <v>SCANNER &amp; CD WRITERS</v>
          </cell>
          <cell r="H749">
            <v>9102</v>
          </cell>
          <cell r="K749">
            <v>0</v>
          </cell>
          <cell r="L749">
            <v>0</v>
          </cell>
          <cell r="M749">
            <v>-6640.42</v>
          </cell>
          <cell r="N749">
            <v>0</v>
          </cell>
          <cell r="O749">
            <v>0</v>
          </cell>
          <cell r="P749">
            <v>0</v>
          </cell>
          <cell r="Q749">
            <v>0</v>
          </cell>
          <cell r="R749">
            <v>0</v>
          </cell>
          <cell r="S749">
            <v>0</v>
          </cell>
          <cell r="T749">
            <v>0</v>
          </cell>
          <cell r="U749">
            <v>0</v>
          </cell>
          <cell r="V749">
            <v>-984.63</v>
          </cell>
          <cell r="W749">
            <v>0</v>
          </cell>
          <cell r="X749">
            <v>0</v>
          </cell>
          <cell r="Y749">
            <v>0</v>
          </cell>
          <cell r="Z749">
            <v>0</v>
          </cell>
          <cell r="AA749">
            <v>0</v>
          </cell>
          <cell r="AB749">
            <v>0</v>
          </cell>
          <cell r="AC749">
            <v>0</v>
          </cell>
          <cell r="AD749">
            <v>0</v>
          </cell>
          <cell r="AE749">
            <v>0</v>
          </cell>
          <cell r="AF749">
            <v>0</v>
          </cell>
        </row>
        <row r="750">
          <cell r="A750">
            <v>1800049</v>
          </cell>
          <cell r="H750">
            <v>9102</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row>
        <row r="751">
          <cell r="A751">
            <v>1800049</v>
          </cell>
          <cell r="H751">
            <v>9102</v>
          </cell>
          <cell r="K751">
            <v>0</v>
          </cell>
          <cell r="L751">
            <v>0</v>
          </cell>
          <cell r="M751">
            <v>-7625.05</v>
          </cell>
          <cell r="N751">
            <v>0</v>
          </cell>
          <cell r="O751">
            <v>0</v>
          </cell>
          <cell r="P751">
            <v>0</v>
          </cell>
          <cell r="Q751">
            <v>0</v>
          </cell>
          <cell r="R751">
            <v>0</v>
          </cell>
          <cell r="S751">
            <v>0</v>
          </cell>
          <cell r="T751">
            <v>0</v>
          </cell>
          <cell r="U751">
            <v>0</v>
          </cell>
          <cell r="V751">
            <v>-590.78</v>
          </cell>
          <cell r="W751">
            <v>0</v>
          </cell>
          <cell r="X751">
            <v>0</v>
          </cell>
          <cell r="Y751">
            <v>0</v>
          </cell>
          <cell r="Z751">
            <v>0</v>
          </cell>
          <cell r="AA751">
            <v>0</v>
          </cell>
          <cell r="AB751">
            <v>0</v>
          </cell>
          <cell r="AC751">
            <v>0</v>
          </cell>
          <cell r="AD751">
            <v>0</v>
          </cell>
          <cell r="AE751">
            <v>0</v>
          </cell>
          <cell r="AF751">
            <v>0</v>
          </cell>
        </row>
        <row r="752">
          <cell r="A752">
            <v>1800049</v>
          </cell>
          <cell r="H752">
            <v>9102</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row>
        <row r="753">
          <cell r="A753">
            <v>1800050</v>
          </cell>
          <cell r="B753" t="str">
            <v>1800050</v>
          </cell>
          <cell r="G753" t="str">
            <v>Acer Laptop -  2304</v>
          </cell>
          <cell r="H753">
            <v>0</v>
          </cell>
          <cell r="K753">
            <v>0</v>
          </cell>
          <cell r="L753">
            <v>0</v>
          </cell>
          <cell r="M753">
            <v>0</v>
          </cell>
          <cell r="N753">
            <v>0</v>
          </cell>
          <cell r="O753">
            <v>0</v>
          </cell>
          <cell r="P753">
            <v>0</v>
          </cell>
          <cell r="Q753">
            <v>0</v>
          </cell>
          <cell r="R753">
            <v>0</v>
          </cell>
          <cell r="S753">
            <v>0</v>
          </cell>
          <cell r="T753">
            <v>0</v>
          </cell>
          <cell r="U753">
            <v>0</v>
          </cell>
          <cell r="V753">
            <v>-12810.96</v>
          </cell>
          <cell r="W753">
            <v>0</v>
          </cell>
          <cell r="X753">
            <v>0</v>
          </cell>
          <cell r="Y753">
            <v>0</v>
          </cell>
          <cell r="Z753">
            <v>0</v>
          </cell>
          <cell r="AA753">
            <v>0</v>
          </cell>
          <cell r="AB753">
            <v>35000</v>
          </cell>
          <cell r="AC753">
            <v>0</v>
          </cell>
          <cell r="AD753">
            <v>0</v>
          </cell>
          <cell r="AE753">
            <v>0</v>
          </cell>
          <cell r="AF753">
            <v>0</v>
          </cell>
        </row>
        <row r="754">
          <cell r="A754">
            <v>1800050</v>
          </cell>
          <cell r="H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35000</v>
          </cell>
          <cell r="AC754">
            <v>0</v>
          </cell>
          <cell r="AD754">
            <v>0</v>
          </cell>
          <cell r="AE754">
            <v>0</v>
          </cell>
          <cell r="AF754">
            <v>0</v>
          </cell>
        </row>
        <row r="755">
          <cell r="A755">
            <v>1800050</v>
          </cell>
          <cell r="H755">
            <v>35000</v>
          </cell>
          <cell r="K755">
            <v>0</v>
          </cell>
          <cell r="L755">
            <v>0</v>
          </cell>
          <cell r="M755">
            <v>-12810.96</v>
          </cell>
          <cell r="N755">
            <v>0</v>
          </cell>
          <cell r="O755">
            <v>0</v>
          </cell>
          <cell r="P755">
            <v>0</v>
          </cell>
          <cell r="Q755">
            <v>0</v>
          </cell>
          <cell r="R755">
            <v>0</v>
          </cell>
          <cell r="S755">
            <v>0</v>
          </cell>
          <cell r="T755">
            <v>0</v>
          </cell>
          <cell r="U755">
            <v>0</v>
          </cell>
          <cell r="V755">
            <v>-8875.6200000000008</v>
          </cell>
          <cell r="W755">
            <v>0</v>
          </cell>
          <cell r="X755">
            <v>0</v>
          </cell>
          <cell r="Y755">
            <v>0</v>
          </cell>
          <cell r="Z755">
            <v>0</v>
          </cell>
          <cell r="AA755">
            <v>0</v>
          </cell>
          <cell r="AB755">
            <v>0</v>
          </cell>
          <cell r="AC755">
            <v>0</v>
          </cell>
          <cell r="AD755">
            <v>0</v>
          </cell>
          <cell r="AE755">
            <v>0</v>
          </cell>
          <cell r="AF755">
            <v>0</v>
          </cell>
        </row>
        <row r="756">
          <cell r="A756">
            <v>1800050</v>
          </cell>
          <cell r="H756">
            <v>35000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row>
        <row r="757">
          <cell r="A757">
            <v>1800051</v>
          </cell>
          <cell r="B757" t="str">
            <v>1800051</v>
          </cell>
          <cell r="G757" t="str">
            <v>Hp OfficeJet Printer No. 5510</v>
          </cell>
          <cell r="H757">
            <v>0</v>
          </cell>
          <cell r="K757">
            <v>0</v>
          </cell>
          <cell r="L757">
            <v>0</v>
          </cell>
          <cell r="M757">
            <v>0</v>
          </cell>
          <cell r="N757">
            <v>0</v>
          </cell>
          <cell r="O757">
            <v>0</v>
          </cell>
          <cell r="P757">
            <v>0</v>
          </cell>
          <cell r="Q757">
            <v>0</v>
          </cell>
          <cell r="R757">
            <v>0</v>
          </cell>
          <cell r="S757">
            <v>0</v>
          </cell>
          <cell r="T757">
            <v>0</v>
          </cell>
          <cell r="U757">
            <v>0</v>
          </cell>
          <cell r="V757">
            <v>-2679.23</v>
          </cell>
          <cell r="W757">
            <v>0</v>
          </cell>
          <cell r="X757">
            <v>0</v>
          </cell>
          <cell r="Y757">
            <v>0</v>
          </cell>
          <cell r="Z757">
            <v>0</v>
          </cell>
          <cell r="AA757">
            <v>0</v>
          </cell>
          <cell r="AB757">
            <v>9550</v>
          </cell>
          <cell r="AC757">
            <v>0</v>
          </cell>
          <cell r="AD757">
            <v>0</v>
          </cell>
          <cell r="AE757">
            <v>0</v>
          </cell>
          <cell r="AF757">
            <v>0</v>
          </cell>
        </row>
        <row r="758">
          <cell r="A758">
            <v>1800051</v>
          </cell>
          <cell r="H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9550</v>
          </cell>
          <cell r="AC758">
            <v>0</v>
          </cell>
          <cell r="AD758">
            <v>0</v>
          </cell>
          <cell r="AE758">
            <v>0</v>
          </cell>
          <cell r="AF758">
            <v>0</v>
          </cell>
        </row>
        <row r="759">
          <cell r="A759">
            <v>1800051</v>
          </cell>
          <cell r="H759">
            <v>9550</v>
          </cell>
          <cell r="K759">
            <v>0</v>
          </cell>
          <cell r="L759">
            <v>0</v>
          </cell>
          <cell r="M759">
            <v>-2679.23</v>
          </cell>
          <cell r="N759">
            <v>0</v>
          </cell>
          <cell r="O759">
            <v>0</v>
          </cell>
          <cell r="P759">
            <v>0</v>
          </cell>
          <cell r="Q759">
            <v>0</v>
          </cell>
          <cell r="R759">
            <v>0</v>
          </cell>
          <cell r="S759">
            <v>0</v>
          </cell>
          <cell r="T759">
            <v>0</v>
          </cell>
          <cell r="U759">
            <v>0</v>
          </cell>
          <cell r="V759">
            <v>-2748.31</v>
          </cell>
          <cell r="W759">
            <v>0</v>
          </cell>
          <cell r="X759">
            <v>0</v>
          </cell>
          <cell r="Y759">
            <v>0</v>
          </cell>
          <cell r="Z759">
            <v>0</v>
          </cell>
          <cell r="AA759">
            <v>0</v>
          </cell>
          <cell r="AB759">
            <v>0</v>
          </cell>
          <cell r="AC759">
            <v>0</v>
          </cell>
          <cell r="AD759">
            <v>0</v>
          </cell>
          <cell r="AE759">
            <v>0</v>
          </cell>
          <cell r="AF759">
            <v>0</v>
          </cell>
        </row>
        <row r="760">
          <cell r="A760">
            <v>1800051</v>
          </cell>
          <cell r="H760">
            <v>9550</v>
          </cell>
          <cell r="K760">
            <v>0</v>
          </cell>
          <cell r="L760">
            <v>0</v>
          </cell>
          <cell r="M760">
            <v>0</v>
          </cell>
          <cell r="N760">
            <v>0</v>
          </cell>
          <cell r="O760">
            <v>0</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row>
        <row r="761">
          <cell r="A761">
            <v>1800052</v>
          </cell>
          <cell r="B761" t="str">
            <v>1800052</v>
          </cell>
          <cell r="G761" t="str">
            <v>Hp OfficeJet Printer No. 5510</v>
          </cell>
          <cell r="H761">
            <v>0</v>
          </cell>
          <cell r="K761">
            <v>0</v>
          </cell>
          <cell r="L761">
            <v>0</v>
          </cell>
          <cell r="M761">
            <v>0</v>
          </cell>
          <cell r="N761">
            <v>0</v>
          </cell>
          <cell r="O761">
            <v>0</v>
          </cell>
          <cell r="P761">
            <v>0</v>
          </cell>
          <cell r="Q761">
            <v>0</v>
          </cell>
          <cell r="R761">
            <v>0</v>
          </cell>
          <cell r="S761">
            <v>0</v>
          </cell>
          <cell r="T761">
            <v>0</v>
          </cell>
          <cell r="U761">
            <v>0</v>
          </cell>
          <cell r="V761">
            <v>-2679.23</v>
          </cell>
          <cell r="W761">
            <v>0</v>
          </cell>
          <cell r="X761">
            <v>0</v>
          </cell>
          <cell r="Y761">
            <v>0</v>
          </cell>
          <cell r="Z761">
            <v>0</v>
          </cell>
          <cell r="AA761">
            <v>0</v>
          </cell>
          <cell r="AB761">
            <v>9550</v>
          </cell>
          <cell r="AC761">
            <v>0</v>
          </cell>
          <cell r="AD761">
            <v>0</v>
          </cell>
          <cell r="AE761">
            <v>0</v>
          </cell>
          <cell r="AF761">
            <v>0</v>
          </cell>
        </row>
        <row r="762">
          <cell r="A762">
            <v>1800052</v>
          </cell>
          <cell r="H762">
            <v>0</v>
          </cell>
          <cell r="K762">
            <v>0</v>
          </cell>
          <cell r="L762">
            <v>0</v>
          </cell>
          <cell r="M762">
            <v>0</v>
          </cell>
          <cell r="N762">
            <v>0</v>
          </cell>
          <cell r="O762">
            <v>0</v>
          </cell>
          <cell r="P762">
            <v>0</v>
          </cell>
          <cell r="Q762">
            <v>0</v>
          </cell>
          <cell r="R762">
            <v>0</v>
          </cell>
          <cell r="S762">
            <v>0</v>
          </cell>
          <cell r="T762">
            <v>0</v>
          </cell>
          <cell r="U762">
            <v>0</v>
          </cell>
          <cell r="V762">
            <v>0</v>
          </cell>
          <cell r="W762">
            <v>0</v>
          </cell>
          <cell r="X762">
            <v>0</v>
          </cell>
          <cell r="Y762">
            <v>0</v>
          </cell>
          <cell r="Z762">
            <v>0</v>
          </cell>
          <cell r="AA762">
            <v>0</v>
          </cell>
          <cell r="AB762">
            <v>9550</v>
          </cell>
          <cell r="AC762">
            <v>0</v>
          </cell>
          <cell r="AD762">
            <v>0</v>
          </cell>
          <cell r="AE762">
            <v>0</v>
          </cell>
          <cell r="AF762">
            <v>0</v>
          </cell>
        </row>
        <row r="763">
          <cell r="A763">
            <v>1800052</v>
          </cell>
          <cell r="H763">
            <v>9550</v>
          </cell>
          <cell r="K763">
            <v>0</v>
          </cell>
          <cell r="L763">
            <v>0</v>
          </cell>
          <cell r="M763">
            <v>-2679.23</v>
          </cell>
          <cell r="N763">
            <v>0</v>
          </cell>
          <cell r="O763">
            <v>0</v>
          </cell>
          <cell r="P763">
            <v>0</v>
          </cell>
          <cell r="Q763">
            <v>0</v>
          </cell>
          <cell r="R763">
            <v>0</v>
          </cell>
          <cell r="S763">
            <v>0</v>
          </cell>
          <cell r="T763">
            <v>0</v>
          </cell>
          <cell r="U763">
            <v>0</v>
          </cell>
          <cell r="V763">
            <v>-2748.31</v>
          </cell>
          <cell r="W763">
            <v>0</v>
          </cell>
          <cell r="X763">
            <v>0</v>
          </cell>
          <cell r="Y763">
            <v>0</v>
          </cell>
          <cell r="Z763">
            <v>0</v>
          </cell>
          <cell r="AA763">
            <v>0</v>
          </cell>
          <cell r="AB763">
            <v>0</v>
          </cell>
          <cell r="AC763">
            <v>0</v>
          </cell>
          <cell r="AD763">
            <v>0</v>
          </cell>
          <cell r="AE763">
            <v>0</v>
          </cell>
          <cell r="AF763">
            <v>0</v>
          </cell>
        </row>
        <row r="764">
          <cell r="A764">
            <v>1800052</v>
          </cell>
          <cell r="H764">
            <v>9550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row>
        <row r="765">
          <cell r="A765">
            <v>1800053</v>
          </cell>
          <cell r="B765" t="str">
            <v>1800053</v>
          </cell>
          <cell r="G765" t="str">
            <v>COMPUTER TFT</v>
          </cell>
        </row>
        <row r="766">
          <cell r="A766">
            <v>1800054</v>
          </cell>
          <cell r="B766" t="str">
            <v>1800054</v>
          </cell>
          <cell r="G766" t="str">
            <v>Computer TFT</v>
          </cell>
          <cell r="H766">
            <v>0</v>
          </cell>
          <cell r="K766">
            <v>0</v>
          </cell>
          <cell r="L766">
            <v>0</v>
          </cell>
          <cell r="M766">
            <v>0</v>
          </cell>
          <cell r="N766">
            <v>0</v>
          </cell>
          <cell r="O766">
            <v>0</v>
          </cell>
          <cell r="P766">
            <v>0</v>
          </cell>
          <cell r="Q766">
            <v>0</v>
          </cell>
          <cell r="R766">
            <v>0</v>
          </cell>
          <cell r="S766">
            <v>0</v>
          </cell>
          <cell r="T766">
            <v>0</v>
          </cell>
          <cell r="U766">
            <v>0</v>
          </cell>
          <cell r="V766">
            <v>-13847.67</v>
          </cell>
          <cell r="W766">
            <v>0</v>
          </cell>
          <cell r="X766">
            <v>0</v>
          </cell>
          <cell r="Y766">
            <v>0</v>
          </cell>
          <cell r="Z766">
            <v>0</v>
          </cell>
          <cell r="AA766">
            <v>0</v>
          </cell>
          <cell r="AB766">
            <v>48600</v>
          </cell>
          <cell r="AC766">
            <v>0</v>
          </cell>
          <cell r="AD766">
            <v>0</v>
          </cell>
          <cell r="AE766">
            <v>0</v>
          </cell>
          <cell r="AF766">
            <v>0</v>
          </cell>
        </row>
        <row r="767">
          <cell r="A767">
            <v>1800054</v>
          </cell>
          <cell r="H767">
            <v>0</v>
          </cell>
          <cell r="K767">
            <v>0</v>
          </cell>
          <cell r="L767">
            <v>0</v>
          </cell>
          <cell r="M767">
            <v>0</v>
          </cell>
          <cell r="N767">
            <v>0</v>
          </cell>
          <cell r="O767">
            <v>0</v>
          </cell>
          <cell r="P767">
            <v>0</v>
          </cell>
          <cell r="Q767">
            <v>0</v>
          </cell>
          <cell r="R767">
            <v>0</v>
          </cell>
          <cell r="S767">
            <v>0</v>
          </cell>
          <cell r="T767">
            <v>0</v>
          </cell>
          <cell r="U767">
            <v>0</v>
          </cell>
          <cell r="V767">
            <v>0</v>
          </cell>
          <cell r="W767">
            <v>0</v>
          </cell>
          <cell r="X767">
            <v>0</v>
          </cell>
          <cell r="Y767">
            <v>0</v>
          </cell>
          <cell r="Z767">
            <v>0</v>
          </cell>
          <cell r="AA767">
            <v>0</v>
          </cell>
          <cell r="AB767">
            <v>48600</v>
          </cell>
          <cell r="AC767">
            <v>0</v>
          </cell>
          <cell r="AD767">
            <v>0</v>
          </cell>
          <cell r="AE767">
            <v>0</v>
          </cell>
          <cell r="AF767">
            <v>0</v>
          </cell>
        </row>
        <row r="768">
          <cell r="A768">
            <v>1800054</v>
          </cell>
          <cell r="H768">
            <v>48600</v>
          </cell>
          <cell r="K768">
            <v>0</v>
          </cell>
          <cell r="L768">
            <v>0</v>
          </cell>
          <cell r="M768">
            <v>-13847.67</v>
          </cell>
          <cell r="N768">
            <v>0</v>
          </cell>
          <cell r="O768">
            <v>0</v>
          </cell>
          <cell r="P768">
            <v>0</v>
          </cell>
          <cell r="Q768">
            <v>0</v>
          </cell>
          <cell r="R768">
            <v>0</v>
          </cell>
          <cell r="S768">
            <v>0</v>
          </cell>
          <cell r="T768">
            <v>0</v>
          </cell>
          <cell r="U768">
            <v>0</v>
          </cell>
          <cell r="V768">
            <v>-13900.93</v>
          </cell>
          <cell r="W768">
            <v>0</v>
          </cell>
          <cell r="X768">
            <v>0</v>
          </cell>
          <cell r="Y768">
            <v>0</v>
          </cell>
          <cell r="Z768">
            <v>0</v>
          </cell>
          <cell r="AA768">
            <v>0</v>
          </cell>
          <cell r="AB768">
            <v>0</v>
          </cell>
          <cell r="AC768">
            <v>0</v>
          </cell>
          <cell r="AD768">
            <v>0</v>
          </cell>
          <cell r="AE768">
            <v>0</v>
          </cell>
          <cell r="AF768">
            <v>0</v>
          </cell>
        </row>
        <row r="769">
          <cell r="A769">
            <v>1800054</v>
          </cell>
          <cell r="H769">
            <v>48600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row>
        <row r="770">
          <cell r="A770">
            <v>1800055</v>
          </cell>
          <cell r="B770" t="str">
            <v>1800055</v>
          </cell>
          <cell r="G770" t="str">
            <v>Computer TFT</v>
          </cell>
          <cell r="H770">
            <v>0</v>
          </cell>
          <cell r="K770">
            <v>0</v>
          </cell>
          <cell r="L770">
            <v>0</v>
          </cell>
          <cell r="M770">
            <v>0</v>
          </cell>
          <cell r="N770">
            <v>0</v>
          </cell>
          <cell r="O770">
            <v>0</v>
          </cell>
          <cell r="P770">
            <v>0</v>
          </cell>
          <cell r="Q770">
            <v>0</v>
          </cell>
          <cell r="R770">
            <v>0</v>
          </cell>
          <cell r="S770">
            <v>0</v>
          </cell>
          <cell r="T770">
            <v>0</v>
          </cell>
          <cell r="U770">
            <v>0</v>
          </cell>
          <cell r="V770">
            <v>-13997.26</v>
          </cell>
          <cell r="W770">
            <v>0</v>
          </cell>
          <cell r="X770">
            <v>0</v>
          </cell>
          <cell r="Y770">
            <v>0</v>
          </cell>
          <cell r="Z770">
            <v>0</v>
          </cell>
          <cell r="AA770">
            <v>0</v>
          </cell>
          <cell r="AB770">
            <v>49125</v>
          </cell>
          <cell r="AC770">
            <v>0</v>
          </cell>
          <cell r="AD770">
            <v>0</v>
          </cell>
          <cell r="AE770">
            <v>0</v>
          </cell>
          <cell r="AF770">
            <v>0</v>
          </cell>
        </row>
        <row r="771">
          <cell r="A771">
            <v>1800055</v>
          </cell>
          <cell r="H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49125</v>
          </cell>
          <cell r="AC771">
            <v>0</v>
          </cell>
          <cell r="AD771">
            <v>0</v>
          </cell>
          <cell r="AE771">
            <v>0</v>
          </cell>
          <cell r="AF771">
            <v>0</v>
          </cell>
        </row>
        <row r="772">
          <cell r="A772">
            <v>1800055</v>
          </cell>
          <cell r="H772">
            <v>49125</v>
          </cell>
          <cell r="K772">
            <v>0</v>
          </cell>
          <cell r="L772">
            <v>0</v>
          </cell>
          <cell r="M772">
            <v>-13997.26</v>
          </cell>
          <cell r="N772">
            <v>0</v>
          </cell>
          <cell r="O772">
            <v>0</v>
          </cell>
          <cell r="P772">
            <v>0</v>
          </cell>
          <cell r="Q772">
            <v>0</v>
          </cell>
          <cell r="R772">
            <v>0</v>
          </cell>
          <cell r="S772">
            <v>0</v>
          </cell>
          <cell r="T772">
            <v>0</v>
          </cell>
          <cell r="U772">
            <v>0</v>
          </cell>
          <cell r="V772">
            <v>-14051.1</v>
          </cell>
          <cell r="W772">
            <v>0</v>
          </cell>
          <cell r="X772">
            <v>0</v>
          </cell>
          <cell r="Y772">
            <v>0</v>
          </cell>
          <cell r="Z772">
            <v>0</v>
          </cell>
          <cell r="AA772">
            <v>0</v>
          </cell>
          <cell r="AB772">
            <v>0</v>
          </cell>
          <cell r="AC772">
            <v>0</v>
          </cell>
          <cell r="AD772">
            <v>0</v>
          </cell>
          <cell r="AE772">
            <v>0</v>
          </cell>
          <cell r="AF772">
            <v>0</v>
          </cell>
        </row>
        <row r="773">
          <cell r="A773">
            <v>1800055</v>
          </cell>
          <cell r="H773">
            <v>49125</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row>
        <row r="774">
          <cell r="A774">
            <v>1800056</v>
          </cell>
          <cell r="B774" t="str">
            <v>1800056</v>
          </cell>
          <cell r="G774" t="str">
            <v>Computer TFT</v>
          </cell>
          <cell r="H774">
            <v>0</v>
          </cell>
          <cell r="K774">
            <v>0</v>
          </cell>
          <cell r="L774">
            <v>0</v>
          </cell>
          <cell r="M774">
            <v>0</v>
          </cell>
          <cell r="N774">
            <v>0</v>
          </cell>
          <cell r="O774">
            <v>0</v>
          </cell>
          <cell r="P774">
            <v>0</v>
          </cell>
          <cell r="Q774">
            <v>0</v>
          </cell>
          <cell r="R774">
            <v>0</v>
          </cell>
          <cell r="S774">
            <v>0</v>
          </cell>
          <cell r="T774">
            <v>0</v>
          </cell>
          <cell r="U774">
            <v>0</v>
          </cell>
          <cell r="V774">
            <v>-13847.67</v>
          </cell>
          <cell r="W774">
            <v>0</v>
          </cell>
          <cell r="X774">
            <v>0</v>
          </cell>
          <cell r="Y774">
            <v>0</v>
          </cell>
          <cell r="Z774">
            <v>0</v>
          </cell>
          <cell r="AA774">
            <v>0</v>
          </cell>
          <cell r="AB774">
            <v>48600</v>
          </cell>
          <cell r="AC774">
            <v>0</v>
          </cell>
          <cell r="AD774">
            <v>0</v>
          </cell>
          <cell r="AE774">
            <v>0</v>
          </cell>
          <cell r="AF774">
            <v>0</v>
          </cell>
        </row>
        <row r="775">
          <cell r="A775">
            <v>1800056</v>
          </cell>
          <cell r="H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48600</v>
          </cell>
          <cell r="AC775">
            <v>0</v>
          </cell>
          <cell r="AD775">
            <v>0</v>
          </cell>
          <cell r="AE775">
            <v>0</v>
          </cell>
          <cell r="AF775">
            <v>0</v>
          </cell>
        </row>
        <row r="776">
          <cell r="A776">
            <v>1800056</v>
          </cell>
          <cell r="H776">
            <v>48600</v>
          </cell>
          <cell r="K776">
            <v>0</v>
          </cell>
          <cell r="L776">
            <v>0</v>
          </cell>
          <cell r="M776">
            <v>-13847.67</v>
          </cell>
          <cell r="N776">
            <v>0</v>
          </cell>
          <cell r="O776">
            <v>0</v>
          </cell>
          <cell r="P776">
            <v>0</v>
          </cell>
          <cell r="Q776">
            <v>0</v>
          </cell>
          <cell r="R776">
            <v>0</v>
          </cell>
          <cell r="S776">
            <v>0</v>
          </cell>
          <cell r="T776">
            <v>0</v>
          </cell>
          <cell r="U776">
            <v>0</v>
          </cell>
          <cell r="V776">
            <v>-13900.93</v>
          </cell>
          <cell r="W776">
            <v>0</v>
          </cell>
          <cell r="X776">
            <v>0</v>
          </cell>
          <cell r="Y776">
            <v>0</v>
          </cell>
          <cell r="Z776">
            <v>0</v>
          </cell>
          <cell r="AA776">
            <v>0</v>
          </cell>
          <cell r="AB776">
            <v>0</v>
          </cell>
          <cell r="AC776">
            <v>0</v>
          </cell>
          <cell r="AD776">
            <v>0</v>
          </cell>
          <cell r="AE776">
            <v>0</v>
          </cell>
          <cell r="AF776">
            <v>0</v>
          </cell>
        </row>
        <row r="777">
          <cell r="A777">
            <v>1800056</v>
          </cell>
          <cell r="H777">
            <v>48600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row>
        <row r="778">
          <cell r="A778">
            <v>1800057</v>
          </cell>
          <cell r="B778" t="str">
            <v>1800057</v>
          </cell>
          <cell r="G778" t="str">
            <v>Computer TFT</v>
          </cell>
          <cell r="H778">
            <v>0</v>
          </cell>
          <cell r="K778">
            <v>0</v>
          </cell>
          <cell r="L778">
            <v>0</v>
          </cell>
          <cell r="M778">
            <v>0</v>
          </cell>
          <cell r="N778">
            <v>0</v>
          </cell>
          <cell r="O778">
            <v>0</v>
          </cell>
          <cell r="P778">
            <v>0</v>
          </cell>
          <cell r="Q778">
            <v>0</v>
          </cell>
          <cell r="R778">
            <v>0</v>
          </cell>
          <cell r="S778">
            <v>0</v>
          </cell>
          <cell r="T778">
            <v>0</v>
          </cell>
          <cell r="U778">
            <v>0</v>
          </cell>
          <cell r="V778">
            <v>-13997.26</v>
          </cell>
          <cell r="W778">
            <v>0</v>
          </cell>
          <cell r="X778">
            <v>0</v>
          </cell>
          <cell r="Y778">
            <v>0</v>
          </cell>
          <cell r="Z778">
            <v>0</v>
          </cell>
          <cell r="AA778">
            <v>0</v>
          </cell>
          <cell r="AB778">
            <v>49125</v>
          </cell>
          <cell r="AC778">
            <v>0</v>
          </cell>
          <cell r="AD778">
            <v>0</v>
          </cell>
          <cell r="AE778">
            <v>0</v>
          </cell>
          <cell r="AF778">
            <v>0</v>
          </cell>
        </row>
        <row r="779">
          <cell r="A779">
            <v>1800057</v>
          </cell>
          <cell r="H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49125</v>
          </cell>
          <cell r="AC779">
            <v>0</v>
          </cell>
          <cell r="AD779">
            <v>0</v>
          </cell>
          <cell r="AE779">
            <v>0</v>
          </cell>
          <cell r="AF779">
            <v>0</v>
          </cell>
        </row>
        <row r="780">
          <cell r="A780">
            <v>1800057</v>
          </cell>
          <cell r="H780">
            <v>49125</v>
          </cell>
          <cell r="K780">
            <v>0</v>
          </cell>
          <cell r="L780">
            <v>0</v>
          </cell>
          <cell r="M780">
            <v>-13997.26</v>
          </cell>
          <cell r="N780">
            <v>0</v>
          </cell>
          <cell r="O780">
            <v>0</v>
          </cell>
          <cell r="P780">
            <v>0</v>
          </cell>
          <cell r="Q780">
            <v>0</v>
          </cell>
          <cell r="R780">
            <v>0</v>
          </cell>
          <cell r="S780">
            <v>0</v>
          </cell>
          <cell r="T780">
            <v>0</v>
          </cell>
          <cell r="U780">
            <v>0</v>
          </cell>
          <cell r="V780">
            <v>-14051.1</v>
          </cell>
          <cell r="W780">
            <v>0</v>
          </cell>
          <cell r="X780">
            <v>0</v>
          </cell>
          <cell r="Y780">
            <v>0</v>
          </cell>
          <cell r="Z780">
            <v>0</v>
          </cell>
          <cell r="AA780">
            <v>0</v>
          </cell>
          <cell r="AB780">
            <v>0</v>
          </cell>
          <cell r="AC780">
            <v>0</v>
          </cell>
          <cell r="AD780">
            <v>0</v>
          </cell>
          <cell r="AE780">
            <v>0</v>
          </cell>
          <cell r="AF780">
            <v>0</v>
          </cell>
        </row>
        <row r="781">
          <cell r="A781">
            <v>1800057</v>
          </cell>
          <cell r="H781">
            <v>49125</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row>
        <row r="782">
          <cell r="A782">
            <v>1800058</v>
          </cell>
          <cell r="B782" t="str">
            <v>1800058</v>
          </cell>
          <cell r="G782" t="str">
            <v>Computer TFT</v>
          </cell>
          <cell r="H782">
            <v>0</v>
          </cell>
          <cell r="K782">
            <v>0</v>
          </cell>
          <cell r="L782">
            <v>0</v>
          </cell>
          <cell r="M782">
            <v>0</v>
          </cell>
          <cell r="N782">
            <v>0</v>
          </cell>
          <cell r="O782">
            <v>0</v>
          </cell>
          <cell r="P782">
            <v>0</v>
          </cell>
          <cell r="Q782">
            <v>0</v>
          </cell>
          <cell r="R782">
            <v>0</v>
          </cell>
          <cell r="S782">
            <v>0</v>
          </cell>
          <cell r="T782">
            <v>0</v>
          </cell>
          <cell r="U782">
            <v>0</v>
          </cell>
          <cell r="V782">
            <v>-14567.12</v>
          </cell>
          <cell r="W782">
            <v>0</v>
          </cell>
          <cell r="X782">
            <v>0</v>
          </cell>
          <cell r="Y782">
            <v>0</v>
          </cell>
          <cell r="Z782">
            <v>0</v>
          </cell>
          <cell r="AA782">
            <v>0</v>
          </cell>
          <cell r="AB782">
            <v>51125</v>
          </cell>
          <cell r="AC782">
            <v>0</v>
          </cell>
          <cell r="AD782">
            <v>0</v>
          </cell>
          <cell r="AE782">
            <v>0</v>
          </cell>
          <cell r="AF782">
            <v>0</v>
          </cell>
        </row>
        <row r="783">
          <cell r="A783">
            <v>1800058</v>
          </cell>
          <cell r="H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51125</v>
          </cell>
          <cell r="AC783">
            <v>0</v>
          </cell>
          <cell r="AD783">
            <v>0</v>
          </cell>
          <cell r="AE783">
            <v>0</v>
          </cell>
          <cell r="AF783">
            <v>0</v>
          </cell>
        </row>
        <row r="784">
          <cell r="A784">
            <v>1800058</v>
          </cell>
          <cell r="H784">
            <v>51125</v>
          </cell>
          <cell r="K784">
            <v>0</v>
          </cell>
          <cell r="L784">
            <v>0</v>
          </cell>
          <cell r="M784">
            <v>-14567.12</v>
          </cell>
          <cell r="N784">
            <v>0</v>
          </cell>
          <cell r="O784">
            <v>0</v>
          </cell>
          <cell r="P784">
            <v>0</v>
          </cell>
          <cell r="Q784">
            <v>0</v>
          </cell>
          <cell r="R784">
            <v>0</v>
          </cell>
          <cell r="S784">
            <v>0</v>
          </cell>
          <cell r="T784">
            <v>0</v>
          </cell>
          <cell r="U784">
            <v>0</v>
          </cell>
          <cell r="V784">
            <v>-14623.15</v>
          </cell>
          <cell r="W784">
            <v>0</v>
          </cell>
          <cell r="X784">
            <v>0</v>
          </cell>
          <cell r="Y784">
            <v>0</v>
          </cell>
          <cell r="Z784">
            <v>0</v>
          </cell>
          <cell r="AA784">
            <v>0</v>
          </cell>
          <cell r="AB784">
            <v>0</v>
          </cell>
          <cell r="AC784">
            <v>0</v>
          </cell>
          <cell r="AD784">
            <v>0</v>
          </cell>
          <cell r="AE784">
            <v>0</v>
          </cell>
          <cell r="AF784">
            <v>0</v>
          </cell>
        </row>
        <row r="785">
          <cell r="A785">
            <v>1800058</v>
          </cell>
          <cell r="H785">
            <v>51125</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row>
        <row r="786">
          <cell r="A786">
            <v>1800059</v>
          </cell>
          <cell r="B786" t="str">
            <v>1800059</v>
          </cell>
          <cell r="G786" t="str">
            <v>Computer TFT</v>
          </cell>
          <cell r="H786">
            <v>0</v>
          </cell>
          <cell r="K786">
            <v>0</v>
          </cell>
          <cell r="L786">
            <v>0</v>
          </cell>
          <cell r="M786">
            <v>0</v>
          </cell>
          <cell r="N786">
            <v>0</v>
          </cell>
          <cell r="O786">
            <v>0</v>
          </cell>
          <cell r="P786">
            <v>0</v>
          </cell>
          <cell r="Q786">
            <v>0</v>
          </cell>
          <cell r="R786">
            <v>0</v>
          </cell>
          <cell r="S786">
            <v>0</v>
          </cell>
          <cell r="T786">
            <v>0</v>
          </cell>
          <cell r="U786">
            <v>0</v>
          </cell>
          <cell r="V786">
            <v>-13847.67</v>
          </cell>
          <cell r="W786">
            <v>0</v>
          </cell>
          <cell r="X786">
            <v>0</v>
          </cell>
          <cell r="Y786">
            <v>0</v>
          </cell>
          <cell r="Z786">
            <v>0</v>
          </cell>
          <cell r="AA786">
            <v>0</v>
          </cell>
          <cell r="AB786">
            <v>48600</v>
          </cell>
          <cell r="AC786">
            <v>0</v>
          </cell>
          <cell r="AD786">
            <v>0</v>
          </cell>
          <cell r="AE786">
            <v>0</v>
          </cell>
          <cell r="AF786">
            <v>0</v>
          </cell>
        </row>
        <row r="787">
          <cell r="A787">
            <v>1800059</v>
          </cell>
          <cell r="H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48600</v>
          </cell>
          <cell r="AC787">
            <v>0</v>
          </cell>
          <cell r="AD787">
            <v>0</v>
          </cell>
          <cell r="AE787">
            <v>0</v>
          </cell>
          <cell r="AF787">
            <v>0</v>
          </cell>
        </row>
        <row r="788">
          <cell r="A788">
            <v>1800059</v>
          </cell>
          <cell r="H788">
            <v>48600</v>
          </cell>
          <cell r="K788">
            <v>0</v>
          </cell>
          <cell r="L788">
            <v>0</v>
          </cell>
          <cell r="M788">
            <v>-13847.67</v>
          </cell>
          <cell r="N788">
            <v>0</v>
          </cell>
          <cell r="O788">
            <v>0</v>
          </cell>
          <cell r="P788">
            <v>0</v>
          </cell>
          <cell r="Q788">
            <v>0</v>
          </cell>
          <cell r="R788">
            <v>0</v>
          </cell>
          <cell r="S788">
            <v>0</v>
          </cell>
          <cell r="T788">
            <v>0</v>
          </cell>
          <cell r="U788">
            <v>0</v>
          </cell>
          <cell r="V788">
            <v>-13900.93</v>
          </cell>
          <cell r="W788">
            <v>0</v>
          </cell>
          <cell r="X788">
            <v>0</v>
          </cell>
          <cell r="Y788">
            <v>0</v>
          </cell>
          <cell r="Z788">
            <v>0</v>
          </cell>
          <cell r="AA788">
            <v>0</v>
          </cell>
          <cell r="AB788">
            <v>0</v>
          </cell>
          <cell r="AC788">
            <v>0</v>
          </cell>
          <cell r="AD788">
            <v>0</v>
          </cell>
          <cell r="AE788">
            <v>0</v>
          </cell>
          <cell r="AF788">
            <v>0</v>
          </cell>
        </row>
        <row r="789">
          <cell r="A789">
            <v>1800059</v>
          </cell>
          <cell r="H789">
            <v>48600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row>
        <row r="790">
          <cell r="A790">
            <v>1800060</v>
          </cell>
          <cell r="B790" t="str">
            <v>1800060</v>
          </cell>
          <cell r="G790" t="str">
            <v>Computer TFT</v>
          </cell>
          <cell r="H790">
            <v>0</v>
          </cell>
          <cell r="K790">
            <v>0</v>
          </cell>
          <cell r="L790">
            <v>0</v>
          </cell>
          <cell r="M790">
            <v>0</v>
          </cell>
          <cell r="N790">
            <v>0</v>
          </cell>
          <cell r="O790">
            <v>0</v>
          </cell>
          <cell r="P790">
            <v>0</v>
          </cell>
          <cell r="Q790">
            <v>0</v>
          </cell>
          <cell r="R790">
            <v>0</v>
          </cell>
          <cell r="S790">
            <v>0</v>
          </cell>
          <cell r="T790">
            <v>0</v>
          </cell>
          <cell r="U790">
            <v>0</v>
          </cell>
          <cell r="V790">
            <v>-13847.67</v>
          </cell>
          <cell r="W790">
            <v>0</v>
          </cell>
          <cell r="X790">
            <v>0</v>
          </cell>
          <cell r="Y790">
            <v>0</v>
          </cell>
          <cell r="Z790">
            <v>0</v>
          </cell>
          <cell r="AA790">
            <v>0</v>
          </cell>
          <cell r="AB790">
            <v>48600</v>
          </cell>
          <cell r="AC790">
            <v>0</v>
          </cell>
          <cell r="AD790">
            <v>0</v>
          </cell>
          <cell r="AE790">
            <v>0</v>
          </cell>
          <cell r="AF790">
            <v>0</v>
          </cell>
        </row>
        <row r="791">
          <cell r="A791">
            <v>1800060</v>
          </cell>
          <cell r="H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48600</v>
          </cell>
          <cell r="AC791">
            <v>0</v>
          </cell>
          <cell r="AD791">
            <v>0</v>
          </cell>
          <cell r="AE791">
            <v>0</v>
          </cell>
          <cell r="AF791">
            <v>0</v>
          </cell>
        </row>
        <row r="792">
          <cell r="A792">
            <v>1800060</v>
          </cell>
          <cell r="H792">
            <v>48600</v>
          </cell>
          <cell r="K792">
            <v>0</v>
          </cell>
          <cell r="L792">
            <v>0</v>
          </cell>
          <cell r="M792">
            <v>-13847.67</v>
          </cell>
          <cell r="N792">
            <v>0</v>
          </cell>
          <cell r="O792">
            <v>0</v>
          </cell>
          <cell r="P792">
            <v>0</v>
          </cell>
          <cell r="Q792">
            <v>0</v>
          </cell>
          <cell r="R792">
            <v>0</v>
          </cell>
          <cell r="S792">
            <v>0</v>
          </cell>
          <cell r="T792">
            <v>0</v>
          </cell>
          <cell r="U792">
            <v>0</v>
          </cell>
          <cell r="V792">
            <v>-13900.93</v>
          </cell>
          <cell r="W792">
            <v>0</v>
          </cell>
          <cell r="X792">
            <v>0</v>
          </cell>
          <cell r="Y792">
            <v>0</v>
          </cell>
          <cell r="Z792">
            <v>0</v>
          </cell>
          <cell r="AA792">
            <v>0</v>
          </cell>
          <cell r="AB792">
            <v>0</v>
          </cell>
          <cell r="AC792">
            <v>0</v>
          </cell>
          <cell r="AD792">
            <v>0</v>
          </cell>
          <cell r="AE792">
            <v>0</v>
          </cell>
          <cell r="AF792">
            <v>0</v>
          </cell>
        </row>
        <row r="793">
          <cell r="A793">
            <v>1800060</v>
          </cell>
          <cell r="H793">
            <v>48600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row>
        <row r="794">
          <cell r="A794">
            <v>1800061</v>
          </cell>
          <cell r="B794" t="str">
            <v>1800061</v>
          </cell>
          <cell r="G794" t="str">
            <v>Computer TFT</v>
          </cell>
          <cell r="H794">
            <v>0</v>
          </cell>
          <cell r="K794">
            <v>0</v>
          </cell>
          <cell r="L794">
            <v>0</v>
          </cell>
          <cell r="M794">
            <v>0</v>
          </cell>
          <cell r="N794">
            <v>0</v>
          </cell>
          <cell r="O794">
            <v>0</v>
          </cell>
          <cell r="P794">
            <v>0</v>
          </cell>
          <cell r="Q794">
            <v>0</v>
          </cell>
          <cell r="R794">
            <v>0</v>
          </cell>
          <cell r="S794">
            <v>0</v>
          </cell>
          <cell r="T794">
            <v>0</v>
          </cell>
          <cell r="U794">
            <v>0</v>
          </cell>
          <cell r="V794">
            <v>-14567.12</v>
          </cell>
          <cell r="W794">
            <v>0</v>
          </cell>
          <cell r="X794">
            <v>0</v>
          </cell>
          <cell r="Y794">
            <v>0</v>
          </cell>
          <cell r="Z794">
            <v>0</v>
          </cell>
          <cell r="AA794">
            <v>0</v>
          </cell>
          <cell r="AB794">
            <v>51125</v>
          </cell>
          <cell r="AC794">
            <v>0</v>
          </cell>
          <cell r="AD794">
            <v>0</v>
          </cell>
          <cell r="AE794">
            <v>0</v>
          </cell>
          <cell r="AF794">
            <v>0</v>
          </cell>
        </row>
        <row r="795">
          <cell r="A795">
            <v>1800061</v>
          </cell>
          <cell r="H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51125</v>
          </cell>
          <cell r="AC795">
            <v>0</v>
          </cell>
          <cell r="AD795">
            <v>0</v>
          </cell>
          <cell r="AE795">
            <v>0</v>
          </cell>
          <cell r="AF795">
            <v>0</v>
          </cell>
        </row>
        <row r="796">
          <cell r="A796">
            <v>1800061</v>
          </cell>
          <cell r="H796">
            <v>51125</v>
          </cell>
          <cell r="K796">
            <v>0</v>
          </cell>
          <cell r="L796">
            <v>0</v>
          </cell>
          <cell r="M796">
            <v>-14567.12</v>
          </cell>
          <cell r="N796">
            <v>0</v>
          </cell>
          <cell r="O796">
            <v>0</v>
          </cell>
          <cell r="P796">
            <v>0</v>
          </cell>
          <cell r="Q796">
            <v>0</v>
          </cell>
          <cell r="R796">
            <v>0</v>
          </cell>
          <cell r="S796">
            <v>0</v>
          </cell>
          <cell r="T796">
            <v>0</v>
          </cell>
          <cell r="U796">
            <v>0</v>
          </cell>
          <cell r="V796">
            <v>-14623.15</v>
          </cell>
          <cell r="W796">
            <v>0</v>
          </cell>
          <cell r="X796">
            <v>0</v>
          </cell>
          <cell r="Y796">
            <v>0</v>
          </cell>
          <cell r="Z796">
            <v>0</v>
          </cell>
          <cell r="AA796">
            <v>0</v>
          </cell>
          <cell r="AB796">
            <v>0</v>
          </cell>
          <cell r="AC796">
            <v>0</v>
          </cell>
          <cell r="AD796">
            <v>0</v>
          </cell>
          <cell r="AE796">
            <v>0</v>
          </cell>
          <cell r="AF796">
            <v>0</v>
          </cell>
        </row>
        <row r="797">
          <cell r="A797">
            <v>1800061</v>
          </cell>
          <cell r="H797">
            <v>51125</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row>
        <row r="798">
          <cell r="A798">
            <v>1800062</v>
          </cell>
          <cell r="B798" t="str">
            <v>1800062</v>
          </cell>
          <cell r="G798" t="str">
            <v>Computer TFT</v>
          </cell>
          <cell r="H798">
            <v>0</v>
          </cell>
          <cell r="K798">
            <v>0</v>
          </cell>
          <cell r="L798">
            <v>0</v>
          </cell>
          <cell r="M798">
            <v>0</v>
          </cell>
          <cell r="N798">
            <v>0</v>
          </cell>
          <cell r="O798">
            <v>0</v>
          </cell>
          <cell r="P798">
            <v>0</v>
          </cell>
          <cell r="Q798">
            <v>0</v>
          </cell>
          <cell r="R798">
            <v>0</v>
          </cell>
          <cell r="S798">
            <v>0</v>
          </cell>
          <cell r="T798">
            <v>0</v>
          </cell>
          <cell r="U798">
            <v>0</v>
          </cell>
          <cell r="V798">
            <v>-13847.67</v>
          </cell>
          <cell r="W798">
            <v>0</v>
          </cell>
          <cell r="X798">
            <v>0</v>
          </cell>
          <cell r="Y798">
            <v>0</v>
          </cell>
          <cell r="Z798">
            <v>0</v>
          </cell>
          <cell r="AA798">
            <v>0</v>
          </cell>
          <cell r="AB798">
            <v>48600</v>
          </cell>
          <cell r="AC798">
            <v>0</v>
          </cell>
          <cell r="AD798">
            <v>0</v>
          </cell>
          <cell r="AE798">
            <v>0</v>
          </cell>
          <cell r="AF798">
            <v>0</v>
          </cell>
        </row>
        <row r="799">
          <cell r="A799">
            <v>1800062</v>
          </cell>
          <cell r="H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48600</v>
          </cell>
          <cell r="AC799">
            <v>0</v>
          </cell>
          <cell r="AD799">
            <v>0</v>
          </cell>
          <cell r="AE799">
            <v>0</v>
          </cell>
          <cell r="AF799">
            <v>0</v>
          </cell>
        </row>
        <row r="800">
          <cell r="A800">
            <v>1800062</v>
          </cell>
          <cell r="H800">
            <v>48600</v>
          </cell>
          <cell r="K800">
            <v>0</v>
          </cell>
          <cell r="L800">
            <v>0</v>
          </cell>
          <cell r="M800">
            <v>-13847.67</v>
          </cell>
          <cell r="N800">
            <v>0</v>
          </cell>
          <cell r="O800">
            <v>0</v>
          </cell>
          <cell r="P800">
            <v>0</v>
          </cell>
          <cell r="Q800">
            <v>0</v>
          </cell>
          <cell r="R800">
            <v>0</v>
          </cell>
          <cell r="S800">
            <v>0</v>
          </cell>
          <cell r="T800">
            <v>0</v>
          </cell>
          <cell r="U800">
            <v>0</v>
          </cell>
          <cell r="V800">
            <v>-13900.93</v>
          </cell>
          <cell r="W800">
            <v>0</v>
          </cell>
          <cell r="X800">
            <v>0</v>
          </cell>
          <cell r="Y800">
            <v>0</v>
          </cell>
          <cell r="Z800">
            <v>0</v>
          </cell>
          <cell r="AA800">
            <v>0</v>
          </cell>
          <cell r="AB800">
            <v>0</v>
          </cell>
          <cell r="AC800">
            <v>0</v>
          </cell>
          <cell r="AD800">
            <v>0</v>
          </cell>
          <cell r="AE800">
            <v>0</v>
          </cell>
          <cell r="AF800">
            <v>0</v>
          </cell>
        </row>
        <row r="801">
          <cell r="A801">
            <v>1800062</v>
          </cell>
          <cell r="H801">
            <v>48600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row>
        <row r="802">
          <cell r="A802">
            <v>1800063</v>
          </cell>
          <cell r="B802" t="str">
            <v>1800063</v>
          </cell>
          <cell r="G802" t="str">
            <v>Computer TFT</v>
          </cell>
          <cell r="H802">
            <v>0</v>
          </cell>
          <cell r="K802">
            <v>0</v>
          </cell>
          <cell r="L802">
            <v>0</v>
          </cell>
          <cell r="M802">
            <v>0</v>
          </cell>
          <cell r="N802">
            <v>0</v>
          </cell>
          <cell r="O802">
            <v>0</v>
          </cell>
          <cell r="P802">
            <v>0</v>
          </cell>
          <cell r="Q802">
            <v>0</v>
          </cell>
          <cell r="R802">
            <v>0</v>
          </cell>
          <cell r="S802">
            <v>0</v>
          </cell>
          <cell r="T802">
            <v>0</v>
          </cell>
          <cell r="U802">
            <v>0</v>
          </cell>
          <cell r="V802">
            <v>-13847.67</v>
          </cell>
          <cell r="W802">
            <v>0</v>
          </cell>
          <cell r="X802">
            <v>0</v>
          </cell>
          <cell r="Y802">
            <v>0</v>
          </cell>
          <cell r="Z802">
            <v>0</v>
          </cell>
          <cell r="AA802">
            <v>0</v>
          </cell>
          <cell r="AB802">
            <v>48600</v>
          </cell>
          <cell r="AC802">
            <v>0</v>
          </cell>
          <cell r="AD802">
            <v>0</v>
          </cell>
          <cell r="AE802">
            <v>0</v>
          </cell>
          <cell r="AF802">
            <v>0</v>
          </cell>
        </row>
        <row r="803">
          <cell r="A803">
            <v>1800063</v>
          </cell>
          <cell r="H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48600</v>
          </cell>
          <cell r="AC803">
            <v>0</v>
          </cell>
          <cell r="AD803">
            <v>0</v>
          </cell>
          <cell r="AE803">
            <v>0</v>
          </cell>
          <cell r="AF803">
            <v>0</v>
          </cell>
        </row>
        <row r="804">
          <cell r="A804">
            <v>1800063</v>
          </cell>
          <cell r="H804">
            <v>48600</v>
          </cell>
          <cell r="K804">
            <v>0</v>
          </cell>
          <cell r="L804">
            <v>0</v>
          </cell>
          <cell r="M804">
            <v>-13847.67</v>
          </cell>
          <cell r="N804">
            <v>0</v>
          </cell>
          <cell r="O804">
            <v>0</v>
          </cell>
          <cell r="P804">
            <v>0</v>
          </cell>
          <cell r="Q804">
            <v>0</v>
          </cell>
          <cell r="R804">
            <v>0</v>
          </cell>
          <cell r="S804">
            <v>0</v>
          </cell>
          <cell r="T804">
            <v>0</v>
          </cell>
          <cell r="U804">
            <v>0</v>
          </cell>
          <cell r="V804">
            <v>-13900.93</v>
          </cell>
          <cell r="W804">
            <v>0</v>
          </cell>
          <cell r="X804">
            <v>0</v>
          </cell>
          <cell r="Y804">
            <v>0</v>
          </cell>
          <cell r="Z804">
            <v>0</v>
          </cell>
          <cell r="AA804">
            <v>0</v>
          </cell>
          <cell r="AB804">
            <v>0</v>
          </cell>
          <cell r="AC804">
            <v>0</v>
          </cell>
          <cell r="AD804">
            <v>0</v>
          </cell>
          <cell r="AE804">
            <v>0</v>
          </cell>
          <cell r="AF804">
            <v>0</v>
          </cell>
        </row>
        <row r="805">
          <cell r="A805">
            <v>1800063</v>
          </cell>
          <cell r="H805">
            <v>48600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row>
        <row r="806">
          <cell r="A806">
            <v>1800064</v>
          </cell>
          <cell r="B806" t="str">
            <v>1800064</v>
          </cell>
          <cell r="G806" t="str">
            <v>Computer TFT</v>
          </cell>
          <cell r="H806">
            <v>0</v>
          </cell>
          <cell r="K806">
            <v>0</v>
          </cell>
          <cell r="L806">
            <v>0</v>
          </cell>
          <cell r="M806">
            <v>0</v>
          </cell>
          <cell r="N806">
            <v>0</v>
          </cell>
          <cell r="O806">
            <v>0</v>
          </cell>
          <cell r="P806">
            <v>0</v>
          </cell>
          <cell r="Q806">
            <v>0</v>
          </cell>
          <cell r="R806">
            <v>0</v>
          </cell>
          <cell r="S806">
            <v>0</v>
          </cell>
          <cell r="T806">
            <v>0</v>
          </cell>
          <cell r="U806">
            <v>0</v>
          </cell>
          <cell r="V806">
            <v>-14567.12</v>
          </cell>
          <cell r="W806">
            <v>0</v>
          </cell>
          <cell r="X806">
            <v>0</v>
          </cell>
          <cell r="Y806">
            <v>0</v>
          </cell>
          <cell r="Z806">
            <v>0</v>
          </cell>
          <cell r="AA806">
            <v>0</v>
          </cell>
          <cell r="AB806">
            <v>51125</v>
          </cell>
          <cell r="AC806">
            <v>0</v>
          </cell>
          <cell r="AD806">
            <v>0</v>
          </cell>
          <cell r="AE806">
            <v>0</v>
          </cell>
          <cell r="AF806">
            <v>0</v>
          </cell>
        </row>
        <row r="807">
          <cell r="A807">
            <v>1800064</v>
          </cell>
          <cell r="H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51125</v>
          </cell>
          <cell r="AC807">
            <v>0</v>
          </cell>
          <cell r="AD807">
            <v>0</v>
          </cell>
          <cell r="AE807">
            <v>0</v>
          </cell>
          <cell r="AF807">
            <v>0</v>
          </cell>
        </row>
        <row r="808">
          <cell r="A808">
            <v>1800064</v>
          </cell>
          <cell r="H808">
            <v>51125</v>
          </cell>
          <cell r="K808">
            <v>0</v>
          </cell>
          <cell r="L808">
            <v>0</v>
          </cell>
          <cell r="M808">
            <v>-14567.12</v>
          </cell>
          <cell r="N808">
            <v>0</v>
          </cell>
          <cell r="O808">
            <v>0</v>
          </cell>
          <cell r="P808">
            <v>0</v>
          </cell>
          <cell r="Q808">
            <v>0</v>
          </cell>
          <cell r="R808">
            <v>0</v>
          </cell>
          <cell r="S808">
            <v>0</v>
          </cell>
          <cell r="T808">
            <v>0</v>
          </cell>
          <cell r="U808">
            <v>0</v>
          </cell>
          <cell r="V808">
            <v>-14623.15</v>
          </cell>
          <cell r="W808">
            <v>0</v>
          </cell>
          <cell r="X808">
            <v>0</v>
          </cell>
          <cell r="Y808">
            <v>0</v>
          </cell>
          <cell r="Z808">
            <v>0</v>
          </cell>
          <cell r="AA808">
            <v>0</v>
          </cell>
          <cell r="AB808">
            <v>0</v>
          </cell>
          <cell r="AC808">
            <v>0</v>
          </cell>
          <cell r="AD808">
            <v>0</v>
          </cell>
          <cell r="AE808">
            <v>0</v>
          </cell>
          <cell r="AF808">
            <v>0</v>
          </cell>
        </row>
        <row r="809">
          <cell r="A809">
            <v>1800064</v>
          </cell>
          <cell r="H809">
            <v>51125</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row>
        <row r="810">
          <cell r="A810">
            <v>1800065</v>
          </cell>
          <cell r="B810" t="str">
            <v>1800065</v>
          </cell>
          <cell r="G810" t="str">
            <v>Computer TFT</v>
          </cell>
          <cell r="H810">
            <v>0</v>
          </cell>
          <cell r="K810">
            <v>0</v>
          </cell>
          <cell r="L810">
            <v>0</v>
          </cell>
          <cell r="M810">
            <v>0</v>
          </cell>
          <cell r="N810">
            <v>0</v>
          </cell>
          <cell r="O810">
            <v>0</v>
          </cell>
          <cell r="P810">
            <v>0</v>
          </cell>
          <cell r="Q810">
            <v>0</v>
          </cell>
          <cell r="R810">
            <v>0</v>
          </cell>
          <cell r="S810">
            <v>0</v>
          </cell>
          <cell r="T810">
            <v>0</v>
          </cell>
          <cell r="U810">
            <v>0</v>
          </cell>
          <cell r="V810">
            <v>-13847.67</v>
          </cell>
          <cell r="W810">
            <v>0</v>
          </cell>
          <cell r="X810">
            <v>0</v>
          </cell>
          <cell r="Y810">
            <v>0</v>
          </cell>
          <cell r="Z810">
            <v>0</v>
          </cell>
          <cell r="AA810">
            <v>0</v>
          </cell>
          <cell r="AB810">
            <v>48600</v>
          </cell>
          <cell r="AC810">
            <v>0</v>
          </cell>
          <cell r="AD810">
            <v>0</v>
          </cell>
          <cell r="AE810">
            <v>0</v>
          </cell>
          <cell r="AF810">
            <v>0</v>
          </cell>
        </row>
        <row r="811">
          <cell r="A811">
            <v>1800065</v>
          </cell>
          <cell r="H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48600</v>
          </cell>
          <cell r="AC811">
            <v>0</v>
          </cell>
          <cell r="AD811">
            <v>0</v>
          </cell>
          <cell r="AE811">
            <v>0</v>
          </cell>
          <cell r="AF811">
            <v>0</v>
          </cell>
        </row>
        <row r="812">
          <cell r="A812">
            <v>1800065</v>
          </cell>
          <cell r="H812">
            <v>48600</v>
          </cell>
          <cell r="K812">
            <v>0</v>
          </cell>
          <cell r="L812">
            <v>0</v>
          </cell>
          <cell r="M812">
            <v>-13847.67</v>
          </cell>
          <cell r="N812">
            <v>0</v>
          </cell>
          <cell r="O812">
            <v>0</v>
          </cell>
          <cell r="P812">
            <v>0</v>
          </cell>
          <cell r="Q812">
            <v>0</v>
          </cell>
          <cell r="R812">
            <v>0</v>
          </cell>
          <cell r="S812">
            <v>0</v>
          </cell>
          <cell r="T812">
            <v>0</v>
          </cell>
          <cell r="U812">
            <v>0</v>
          </cell>
          <cell r="V812">
            <v>-13900.93</v>
          </cell>
          <cell r="W812">
            <v>0</v>
          </cell>
          <cell r="X812">
            <v>0</v>
          </cell>
          <cell r="Y812">
            <v>0</v>
          </cell>
          <cell r="Z812">
            <v>0</v>
          </cell>
          <cell r="AA812">
            <v>0</v>
          </cell>
          <cell r="AB812">
            <v>0</v>
          </cell>
          <cell r="AC812">
            <v>0</v>
          </cell>
          <cell r="AD812">
            <v>0</v>
          </cell>
          <cell r="AE812">
            <v>0</v>
          </cell>
          <cell r="AF812">
            <v>0</v>
          </cell>
        </row>
        <row r="813">
          <cell r="A813">
            <v>1800065</v>
          </cell>
          <cell r="H813">
            <v>48600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0</v>
          </cell>
        </row>
        <row r="814">
          <cell r="A814">
            <v>1800066</v>
          </cell>
          <cell r="B814" t="str">
            <v>1800066</v>
          </cell>
          <cell r="G814" t="str">
            <v>Computer TFT</v>
          </cell>
          <cell r="H814">
            <v>0</v>
          </cell>
          <cell r="K814">
            <v>0</v>
          </cell>
          <cell r="L814">
            <v>0</v>
          </cell>
          <cell r="M814">
            <v>0</v>
          </cell>
          <cell r="N814">
            <v>0</v>
          </cell>
          <cell r="O814">
            <v>0</v>
          </cell>
          <cell r="P814">
            <v>0</v>
          </cell>
          <cell r="Q814">
            <v>0</v>
          </cell>
          <cell r="R814">
            <v>0</v>
          </cell>
          <cell r="S814">
            <v>0</v>
          </cell>
          <cell r="T814">
            <v>0</v>
          </cell>
          <cell r="U814">
            <v>0</v>
          </cell>
          <cell r="V814">
            <v>-13847.67</v>
          </cell>
          <cell r="W814">
            <v>0</v>
          </cell>
          <cell r="X814">
            <v>0</v>
          </cell>
          <cell r="Y814">
            <v>0</v>
          </cell>
          <cell r="Z814">
            <v>0</v>
          </cell>
          <cell r="AA814">
            <v>0</v>
          </cell>
          <cell r="AB814">
            <v>48600</v>
          </cell>
          <cell r="AC814">
            <v>0</v>
          </cell>
          <cell r="AD814">
            <v>0</v>
          </cell>
          <cell r="AE814">
            <v>0</v>
          </cell>
          <cell r="AF814">
            <v>0</v>
          </cell>
        </row>
        <row r="815">
          <cell r="A815">
            <v>1800066</v>
          </cell>
          <cell r="H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48600</v>
          </cell>
          <cell r="AC815">
            <v>0</v>
          </cell>
          <cell r="AD815">
            <v>0</v>
          </cell>
          <cell r="AE815">
            <v>0</v>
          </cell>
          <cell r="AF815">
            <v>0</v>
          </cell>
        </row>
        <row r="816">
          <cell r="A816">
            <v>1800066</v>
          </cell>
          <cell r="H816">
            <v>48600</v>
          </cell>
          <cell r="K816">
            <v>0</v>
          </cell>
          <cell r="L816">
            <v>0</v>
          </cell>
          <cell r="M816">
            <v>-13847.67</v>
          </cell>
          <cell r="N816">
            <v>0</v>
          </cell>
          <cell r="O816">
            <v>0</v>
          </cell>
          <cell r="P816">
            <v>0</v>
          </cell>
          <cell r="Q816">
            <v>0</v>
          </cell>
          <cell r="R816">
            <v>0</v>
          </cell>
          <cell r="S816">
            <v>0</v>
          </cell>
          <cell r="T816">
            <v>0</v>
          </cell>
          <cell r="U816">
            <v>0</v>
          </cell>
          <cell r="V816">
            <v>-13900.93</v>
          </cell>
          <cell r="W816">
            <v>0</v>
          </cell>
          <cell r="X816">
            <v>0</v>
          </cell>
          <cell r="Y816">
            <v>0</v>
          </cell>
          <cell r="Z816">
            <v>0</v>
          </cell>
          <cell r="AA816">
            <v>0</v>
          </cell>
          <cell r="AB816">
            <v>0</v>
          </cell>
          <cell r="AC816">
            <v>0</v>
          </cell>
          <cell r="AD816">
            <v>0</v>
          </cell>
          <cell r="AE816">
            <v>0</v>
          </cell>
          <cell r="AF816">
            <v>0</v>
          </cell>
        </row>
        <row r="817">
          <cell r="A817">
            <v>1800066</v>
          </cell>
          <cell r="H817">
            <v>48600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row>
        <row r="818">
          <cell r="A818">
            <v>1800067</v>
          </cell>
          <cell r="B818" t="str">
            <v>1800067</v>
          </cell>
          <cell r="G818" t="str">
            <v>Computer TFT</v>
          </cell>
          <cell r="H818">
            <v>0</v>
          </cell>
          <cell r="K818">
            <v>0</v>
          </cell>
          <cell r="L818">
            <v>0</v>
          </cell>
          <cell r="M818">
            <v>0</v>
          </cell>
          <cell r="N818">
            <v>0</v>
          </cell>
          <cell r="O818">
            <v>0</v>
          </cell>
          <cell r="P818">
            <v>0</v>
          </cell>
          <cell r="Q818">
            <v>0</v>
          </cell>
          <cell r="R818">
            <v>0</v>
          </cell>
          <cell r="S818">
            <v>0</v>
          </cell>
          <cell r="T818">
            <v>0</v>
          </cell>
          <cell r="U818">
            <v>0</v>
          </cell>
          <cell r="V818">
            <v>-15991.78</v>
          </cell>
          <cell r="W818">
            <v>0</v>
          </cell>
          <cell r="X818">
            <v>0</v>
          </cell>
          <cell r="Y818">
            <v>0</v>
          </cell>
          <cell r="Z818">
            <v>0</v>
          </cell>
          <cell r="AA818">
            <v>0</v>
          </cell>
          <cell r="AB818">
            <v>56125</v>
          </cell>
          <cell r="AC818">
            <v>0</v>
          </cell>
          <cell r="AD818">
            <v>0</v>
          </cell>
          <cell r="AE818">
            <v>0</v>
          </cell>
          <cell r="AF818">
            <v>0</v>
          </cell>
        </row>
        <row r="819">
          <cell r="A819">
            <v>1800067</v>
          </cell>
          <cell r="H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56125</v>
          </cell>
          <cell r="AC819">
            <v>0</v>
          </cell>
          <cell r="AD819">
            <v>0</v>
          </cell>
          <cell r="AE819">
            <v>0</v>
          </cell>
          <cell r="AF819">
            <v>0</v>
          </cell>
        </row>
        <row r="820">
          <cell r="A820">
            <v>1800067</v>
          </cell>
          <cell r="H820">
            <v>56125</v>
          </cell>
          <cell r="K820">
            <v>0</v>
          </cell>
          <cell r="L820">
            <v>0</v>
          </cell>
          <cell r="M820">
            <v>-15991.78</v>
          </cell>
          <cell r="N820">
            <v>0</v>
          </cell>
          <cell r="O820">
            <v>0</v>
          </cell>
          <cell r="P820">
            <v>0</v>
          </cell>
          <cell r="Q820">
            <v>0</v>
          </cell>
          <cell r="R820">
            <v>0</v>
          </cell>
          <cell r="S820">
            <v>0</v>
          </cell>
          <cell r="T820">
            <v>0</v>
          </cell>
          <cell r="U820">
            <v>0</v>
          </cell>
          <cell r="V820">
            <v>-16053.29</v>
          </cell>
          <cell r="W820">
            <v>0</v>
          </cell>
          <cell r="X820">
            <v>0</v>
          </cell>
          <cell r="Y820">
            <v>0</v>
          </cell>
          <cell r="Z820">
            <v>0</v>
          </cell>
          <cell r="AA820">
            <v>0</v>
          </cell>
          <cell r="AB820">
            <v>0</v>
          </cell>
          <cell r="AC820">
            <v>0</v>
          </cell>
          <cell r="AD820">
            <v>0</v>
          </cell>
          <cell r="AE820">
            <v>0</v>
          </cell>
          <cell r="AF820">
            <v>0</v>
          </cell>
        </row>
        <row r="821">
          <cell r="A821">
            <v>1800067</v>
          </cell>
          <cell r="H821">
            <v>56125</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row>
        <row r="822">
          <cell r="A822">
            <v>1800068</v>
          </cell>
          <cell r="B822" t="str">
            <v>1800068</v>
          </cell>
          <cell r="G822" t="str">
            <v>Computer TFT</v>
          </cell>
          <cell r="H822">
            <v>0</v>
          </cell>
          <cell r="K822">
            <v>0</v>
          </cell>
          <cell r="L822">
            <v>0</v>
          </cell>
          <cell r="M822">
            <v>0</v>
          </cell>
          <cell r="N822">
            <v>0</v>
          </cell>
          <cell r="O822">
            <v>0</v>
          </cell>
          <cell r="P822">
            <v>0</v>
          </cell>
          <cell r="Q822">
            <v>0</v>
          </cell>
          <cell r="R822">
            <v>0</v>
          </cell>
          <cell r="S822">
            <v>0</v>
          </cell>
          <cell r="T822">
            <v>0</v>
          </cell>
          <cell r="U822">
            <v>0</v>
          </cell>
          <cell r="V822">
            <v>-15991.78</v>
          </cell>
          <cell r="W822">
            <v>0</v>
          </cell>
          <cell r="X822">
            <v>0</v>
          </cell>
          <cell r="Y822">
            <v>0</v>
          </cell>
          <cell r="Z822">
            <v>0</v>
          </cell>
          <cell r="AA822">
            <v>0</v>
          </cell>
          <cell r="AB822">
            <v>56125</v>
          </cell>
          <cell r="AC822">
            <v>0</v>
          </cell>
          <cell r="AD822">
            <v>0</v>
          </cell>
          <cell r="AE822">
            <v>0</v>
          </cell>
          <cell r="AF822">
            <v>0</v>
          </cell>
        </row>
        <row r="823">
          <cell r="A823">
            <v>1800068</v>
          </cell>
          <cell r="H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0</v>
          </cell>
          <cell r="Y823">
            <v>0</v>
          </cell>
          <cell r="Z823">
            <v>0</v>
          </cell>
          <cell r="AA823">
            <v>0</v>
          </cell>
          <cell r="AB823">
            <v>56125</v>
          </cell>
          <cell r="AC823">
            <v>0</v>
          </cell>
          <cell r="AD823">
            <v>0</v>
          </cell>
          <cell r="AE823">
            <v>0</v>
          </cell>
          <cell r="AF823">
            <v>0</v>
          </cell>
        </row>
        <row r="824">
          <cell r="A824">
            <v>1800068</v>
          </cell>
          <cell r="H824">
            <v>56125</v>
          </cell>
          <cell r="K824">
            <v>0</v>
          </cell>
          <cell r="L824">
            <v>0</v>
          </cell>
          <cell r="M824">
            <v>-15991.78</v>
          </cell>
          <cell r="N824">
            <v>0</v>
          </cell>
          <cell r="O824">
            <v>0</v>
          </cell>
          <cell r="P824">
            <v>0</v>
          </cell>
          <cell r="Q824">
            <v>0</v>
          </cell>
          <cell r="R824">
            <v>0</v>
          </cell>
          <cell r="S824">
            <v>0</v>
          </cell>
          <cell r="T824">
            <v>0</v>
          </cell>
          <cell r="U824">
            <v>0</v>
          </cell>
          <cell r="V824">
            <v>-16053.29</v>
          </cell>
          <cell r="W824">
            <v>0</v>
          </cell>
          <cell r="X824">
            <v>0</v>
          </cell>
          <cell r="Y824">
            <v>0</v>
          </cell>
          <cell r="Z824">
            <v>0</v>
          </cell>
          <cell r="AA824">
            <v>0</v>
          </cell>
          <cell r="AB824">
            <v>0</v>
          </cell>
          <cell r="AC824">
            <v>0</v>
          </cell>
          <cell r="AD824">
            <v>0</v>
          </cell>
          <cell r="AE824">
            <v>0</v>
          </cell>
          <cell r="AF824">
            <v>0</v>
          </cell>
        </row>
        <row r="825">
          <cell r="A825">
            <v>1800068</v>
          </cell>
          <cell r="H825">
            <v>56125</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0</v>
          </cell>
        </row>
        <row r="826">
          <cell r="A826">
            <v>1800069</v>
          </cell>
          <cell r="B826" t="str">
            <v>1800069</v>
          </cell>
          <cell r="G826" t="str">
            <v>Network Laser Jet Printer</v>
          </cell>
          <cell r="H826">
            <v>0</v>
          </cell>
          <cell r="K826">
            <v>0</v>
          </cell>
          <cell r="L826">
            <v>0</v>
          </cell>
          <cell r="M826">
            <v>0</v>
          </cell>
          <cell r="N826">
            <v>0</v>
          </cell>
          <cell r="O826">
            <v>0</v>
          </cell>
          <cell r="P826">
            <v>0</v>
          </cell>
          <cell r="Q826">
            <v>0</v>
          </cell>
          <cell r="R826">
            <v>0</v>
          </cell>
          <cell r="S826">
            <v>0</v>
          </cell>
          <cell r="T826">
            <v>0</v>
          </cell>
          <cell r="U826">
            <v>0</v>
          </cell>
          <cell r="V826">
            <v>-13391.78</v>
          </cell>
          <cell r="W826">
            <v>0</v>
          </cell>
          <cell r="X826">
            <v>0</v>
          </cell>
          <cell r="Y826">
            <v>0</v>
          </cell>
          <cell r="Z826">
            <v>0</v>
          </cell>
          <cell r="AA826">
            <v>0</v>
          </cell>
          <cell r="AB826">
            <v>47000</v>
          </cell>
          <cell r="AC826">
            <v>0</v>
          </cell>
          <cell r="AD826">
            <v>0</v>
          </cell>
          <cell r="AE826">
            <v>0</v>
          </cell>
          <cell r="AF826">
            <v>0</v>
          </cell>
        </row>
        <row r="827">
          <cell r="A827">
            <v>1800069</v>
          </cell>
          <cell r="H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47000</v>
          </cell>
          <cell r="AC827">
            <v>0</v>
          </cell>
          <cell r="AD827">
            <v>0</v>
          </cell>
          <cell r="AE827">
            <v>0</v>
          </cell>
          <cell r="AF827">
            <v>0</v>
          </cell>
        </row>
        <row r="828">
          <cell r="A828">
            <v>1800069</v>
          </cell>
          <cell r="H828">
            <v>47000</v>
          </cell>
          <cell r="K828">
            <v>0</v>
          </cell>
          <cell r="L828">
            <v>0</v>
          </cell>
          <cell r="M828">
            <v>-13391.78</v>
          </cell>
          <cell r="N828">
            <v>0</v>
          </cell>
          <cell r="O828">
            <v>0</v>
          </cell>
          <cell r="P828">
            <v>0</v>
          </cell>
          <cell r="Q828">
            <v>0</v>
          </cell>
          <cell r="R828">
            <v>0</v>
          </cell>
          <cell r="S828">
            <v>0</v>
          </cell>
          <cell r="T828">
            <v>0</v>
          </cell>
          <cell r="U828">
            <v>0</v>
          </cell>
          <cell r="V828">
            <v>-13443.29</v>
          </cell>
          <cell r="W828">
            <v>0</v>
          </cell>
          <cell r="X828">
            <v>0</v>
          </cell>
          <cell r="Y828">
            <v>0</v>
          </cell>
          <cell r="Z828">
            <v>0</v>
          </cell>
          <cell r="AA828">
            <v>0</v>
          </cell>
          <cell r="AB828">
            <v>0</v>
          </cell>
          <cell r="AC828">
            <v>0</v>
          </cell>
          <cell r="AD828">
            <v>0</v>
          </cell>
          <cell r="AE828">
            <v>0</v>
          </cell>
          <cell r="AF828">
            <v>0</v>
          </cell>
        </row>
        <row r="829">
          <cell r="A829">
            <v>1800069</v>
          </cell>
          <cell r="H829">
            <v>47000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row>
        <row r="830">
          <cell r="A830">
            <v>1800070</v>
          </cell>
          <cell r="B830" t="str">
            <v>1800070</v>
          </cell>
          <cell r="G830" t="str">
            <v>DVD WRITER (10MEGA EXTERNAL)</v>
          </cell>
          <cell r="H830">
            <v>0</v>
          </cell>
          <cell r="K830">
            <v>0</v>
          </cell>
          <cell r="L830">
            <v>0</v>
          </cell>
          <cell r="M830">
            <v>0</v>
          </cell>
          <cell r="N830">
            <v>0</v>
          </cell>
          <cell r="O830">
            <v>0</v>
          </cell>
          <cell r="P830">
            <v>0</v>
          </cell>
          <cell r="Q830">
            <v>0</v>
          </cell>
          <cell r="R830">
            <v>0</v>
          </cell>
          <cell r="S830">
            <v>0</v>
          </cell>
          <cell r="T830">
            <v>0</v>
          </cell>
          <cell r="U830">
            <v>0</v>
          </cell>
          <cell r="V830">
            <v>-2644.16</v>
          </cell>
          <cell r="W830">
            <v>0</v>
          </cell>
          <cell r="X830">
            <v>0</v>
          </cell>
          <cell r="Y830">
            <v>0</v>
          </cell>
          <cell r="Z830">
            <v>0</v>
          </cell>
          <cell r="AA830">
            <v>0</v>
          </cell>
          <cell r="AB830">
            <v>11600</v>
          </cell>
          <cell r="AC830">
            <v>0</v>
          </cell>
          <cell r="AD830">
            <v>0</v>
          </cell>
          <cell r="AE830">
            <v>0</v>
          </cell>
          <cell r="AF830">
            <v>0</v>
          </cell>
        </row>
        <row r="831">
          <cell r="A831">
            <v>1800070</v>
          </cell>
          <cell r="H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11600</v>
          </cell>
          <cell r="AC831">
            <v>0</v>
          </cell>
          <cell r="AD831">
            <v>0</v>
          </cell>
          <cell r="AE831">
            <v>0</v>
          </cell>
          <cell r="AF831">
            <v>0</v>
          </cell>
        </row>
        <row r="832">
          <cell r="A832">
            <v>1800070</v>
          </cell>
          <cell r="H832">
            <v>11600</v>
          </cell>
          <cell r="K832">
            <v>0</v>
          </cell>
          <cell r="L832">
            <v>0</v>
          </cell>
          <cell r="M832">
            <v>-2644.16</v>
          </cell>
          <cell r="N832">
            <v>0</v>
          </cell>
          <cell r="O832">
            <v>0</v>
          </cell>
          <cell r="P832">
            <v>0</v>
          </cell>
          <cell r="Q832">
            <v>0</v>
          </cell>
          <cell r="R832">
            <v>0</v>
          </cell>
          <cell r="S832">
            <v>0</v>
          </cell>
          <cell r="T832">
            <v>0</v>
          </cell>
          <cell r="U832">
            <v>0</v>
          </cell>
          <cell r="V832">
            <v>-3582.34</v>
          </cell>
          <cell r="W832">
            <v>0</v>
          </cell>
          <cell r="X832">
            <v>0</v>
          </cell>
          <cell r="Y832">
            <v>0</v>
          </cell>
          <cell r="Z832">
            <v>0</v>
          </cell>
          <cell r="AA832">
            <v>0</v>
          </cell>
          <cell r="AB832">
            <v>0</v>
          </cell>
          <cell r="AC832">
            <v>0</v>
          </cell>
          <cell r="AD832">
            <v>0</v>
          </cell>
          <cell r="AE832">
            <v>0</v>
          </cell>
          <cell r="AF832">
            <v>0</v>
          </cell>
        </row>
        <row r="833">
          <cell r="A833">
            <v>1800070</v>
          </cell>
          <cell r="H833">
            <v>11600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row>
        <row r="834">
          <cell r="A834">
            <v>1800071</v>
          </cell>
          <cell r="B834" t="str">
            <v>1800071</v>
          </cell>
          <cell r="G834" t="str">
            <v>ASSEMBLE COMPUTER</v>
          </cell>
          <cell r="H834">
            <v>0</v>
          </cell>
          <cell r="K834">
            <v>0</v>
          </cell>
          <cell r="L834">
            <v>0</v>
          </cell>
          <cell r="M834">
            <v>0</v>
          </cell>
          <cell r="N834">
            <v>0</v>
          </cell>
          <cell r="O834">
            <v>0</v>
          </cell>
          <cell r="P834">
            <v>0</v>
          </cell>
          <cell r="Q834">
            <v>0</v>
          </cell>
          <cell r="R834">
            <v>0</v>
          </cell>
          <cell r="S834">
            <v>0</v>
          </cell>
          <cell r="T834">
            <v>0</v>
          </cell>
          <cell r="U834">
            <v>0</v>
          </cell>
          <cell r="V834">
            <v>-7247.1</v>
          </cell>
          <cell r="W834">
            <v>0</v>
          </cell>
          <cell r="X834">
            <v>0</v>
          </cell>
          <cell r="Y834">
            <v>0</v>
          </cell>
          <cell r="Z834">
            <v>0</v>
          </cell>
          <cell r="AA834">
            <v>0</v>
          </cell>
          <cell r="AB834">
            <v>22725</v>
          </cell>
          <cell r="AC834">
            <v>0</v>
          </cell>
          <cell r="AD834">
            <v>0</v>
          </cell>
          <cell r="AE834">
            <v>0</v>
          </cell>
          <cell r="AF834">
            <v>0</v>
          </cell>
        </row>
        <row r="835">
          <cell r="A835">
            <v>1800071</v>
          </cell>
          <cell r="H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22725</v>
          </cell>
          <cell r="AC835">
            <v>0</v>
          </cell>
          <cell r="AD835">
            <v>0</v>
          </cell>
          <cell r="AE835">
            <v>0</v>
          </cell>
          <cell r="AF835">
            <v>0</v>
          </cell>
        </row>
        <row r="836">
          <cell r="A836">
            <v>1800071</v>
          </cell>
          <cell r="H836">
            <v>22725</v>
          </cell>
          <cell r="K836">
            <v>0</v>
          </cell>
          <cell r="L836">
            <v>0</v>
          </cell>
          <cell r="M836">
            <v>-7247.1</v>
          </cell>
          <cell r="N836">
            <v>0</v>
          </cell>
          <cell r="O836">
            <v>0</v>
          </cell>
          <cell r="P836">
            <v>0</v>
          </cell>
          <cell r="Q836">
            <v>0</v>
          </cell>
          <cell r="R836">
            <v>0</v>
          </cell>
          <cell r="S836">
            <v>0</v>
          </cell>
          <cell r="T836">
            <v>0</v>
          </cell>
          <cell r="U836">
            <v>0</v>
          </cell>
          <cell r="V836">
            <v>-6191.16</v>
          </cell>
          <cell r="W836">
            <v>0</v>
          </cell>
          <cell r="X836">
            <v>0</v>
          </cell>
          <cell r="Y836">
            <v>0</v>
          </cell>
          <cell r="Z836">
            <v>0</v>
          </cell>
          <cell r="AA836">
            <v>0</v>
          </cell>
          <cell r="AB836">
            <v>0</v>
          </cell>
          <cell r="AC836">
            <v>0</v>
          </cell>
          <cell r="AD836">
            <v>0</v>
          </cell>
          <cell r="AE836">
            <v>0</v>
          </cell>
          <cell r="AF836">
            <v>0</v>
          </cell>
        </row>
        <row r="837">
          <cell r="A837">
            <v>1800071</v>
          </cell>
          <cell r="H837">
            <v>22725</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row>
        <row r="838">
          <cell r="A838">
            <v>1800072</v>
          </cell>
          <cell r="B838" t="str">
            <v>1800072</v>
          </cell>
          <cell r="G838" t="str">
            <v>HP OJ 5510 ALL IN ONE</v>
          </cell>
        </row>
        <row r="839">
          <cell r="A839">
            <v>1800073</v>
          </cell>
          <cell r="B839" t="str">
            <v>1800073</v>
          </cell>
          <cell r="G839" t="str">
            <v>LAPTOP A80 P 432</v>
          </cell>
          <cell r="H839">
            <v>0</v>
          </cell>
          <cell r="K839">
            <v>0</v>
          </cell>
          <cell r="L839">
            <v>0</v>
          </cell>
          <cell r="M839">
            <v>0</v>
          </cell>
          <cell r="N839">
            <v>0</v>
          </cell>
          <cell r="O839">
            <v>0</v>
          </cell>
          <cell r="P839">
            <v>0</v>
          </cell>
          <cell r="Q839">
            <v>0</v>
          </cell>
          <cell r="R839">
            <v>0</v>
          </cell>
          <cell r="S839">
            <v>0</v>
          </cell>
          <cell r="T839">
            <v>0</v>
          </cell>
          <cell r="U839">
            <v>0</v>
          </cell>
          <cell r="V839">
            <v>-6129.86</v>
          </cell>
          <cell r="W839">
            <v>0</v>
          </cell>
          <cell r="X839">
            <v>0</v>
          </cell>
          <cell r="Y839">
            <v>0</v>
          </cell>
          <cell r="Z839">
            <v>0</v>
          </cell>
          <cell r="AA839">
            <v>0</v>
          </cell>
          <cell r="AB839">
            <v>49500</v>
          </cell>
          <cell r="AC839">
            <v>0</v>
          </cell>
          <cell r="AD839">
            <v>0</v>
          </cell>
          <cell r="AE839">
            <v>0</v>
          </cell>
          <cell r="AF839">
            <v>0</v>
          </cell>
        </row>
        <row r="840">
          <cell r="A840">
            <v>1800073</v>
          </cell>
          <cell r="H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49500</v>
          </cell>
          <cell r="AC840">
            <v>0</v>
          </cell>
          <cell r="AD840">
            <v>0</v>
          </cell>
          <cell r="AE840">
            <v>0</v>
          </cell>
          <cell r="AF840">
            <v>0</v>
          </cell>
        </row>
        <row r="841">
          <cell r="A841">
            <v>1800073</v>
          </cell>
          <cell r="H841">
            <v>49500</v>
          </cell>
          <cell r="K841">
            <v>0</v>
          </cell>
          <cell r="L841">
            <v>0</v>
          </cell>
          <cell r="M841">
            <v>-6129.86</v>
          </cell>
          <cell r="N841">
            <v>0</v>
          </cell>
          <cell r="O841">
            <v>0</v>
          </cell>
          <cell r="P841">
            <v>0</v>
          </cell>
          <cell r="Q841">
            <v>0</v>
          </cell>
          <cell r="R841">
            <v>0</v>
          </cell>
          <cell r="S841">
            <v>0</v>
          </cell>
          <cell r="T841">
            <v>0</v>
          </cell>
          <cell r="U841">
            <v>0</v>
          </cell>
          <cell r="V841">
            <v>-17348.060000000001</v>
          </cell>
          <cell r="W841">
            <v>0</v>
          </cell>
          <cell r="X841">
            <v>0</v>
          </cell>
          <cell r="Y841">
            <v>0</v>
          </cell>
          <cell r="Z841">
            <v>0</v>
          </cell>
          <cell r="AA841">
            <v>0</v>
          </cell>
          <cell r="AB841">
            <v>0</v>
          </cell>
          <cell r="AC841">
            <v>0</v>
          </cell>
          <cell r="AD841">
            <v>0</v>
          </cell>
          <cell r="AE841">
            <v>0</v>
          </cell>
          <cell r="AF841">
            <v>0</v>
          </cell>
        </row>
        <row r="842">
          <cell r="A842">
            <v>1800073</v>
          </cell>
          <cell r="H842">
            <v>49500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row>
        <row r="843">
          <cell r="A843">
            <v>1800074</v>
          </cell>
          <cell r="B843" t="str">
            <v>1800074</v>
          </cell>
          <cell r="G843" t="str">
            <v>PEN DRIVE</v>
          </cell>
          <cell r="H843">
            <v>0</v>
          </cell>
          <cell r="K843">
            <v>0</v>
          </cell>
          <cell r="L843">
            <v>0</v>
          </cell>
          <cell r="M843">
            <v>0</v>
          </cell>
          <cell r="N843">
            <v>0</v>
          </cell>
          <cell r="O843">
            <v>0</v>
          </cell>
          <cell r="P843">
            <v>0</v>
          </cell>
          <cell r="Q843">
            <v>0</v>
          </cell>
          <cell r="R843">
            <v>0</v>
          </cell>
          <cell r="S843">
            <v>0</v>
          </cell>
          <cell r="T843">
            <v>0</v>
          </cell>
          <cell r="U843">
            <v>0</v>
          </cell>
          <cell r="V843">
            <v>-743.56</v>
          </cell>
          <cell r="W843">
            <v>0</v>
          </cell>
          <cell r="X843">
            <v>0</v>
          </cell>
          <cell r="Y843">
            <v>0</v>
          </cell>
          <cell r="Z843">
            <v>0</v>
          </cell>
          <cell r="AA843">
            <v>0</v>
          </cell>
          <cell r="AB843">
            <v>5900</v>
          </cell>
          <cell r="AC843">
            <v>0</v>
          </cell>
          <cell r="AD843">
            <v>0</v>
          </cell>
          <cell r="AE843">
            <v>0</v>
          </cell>
          <cell r="AF843">
            <v>0</v>
          </cell>
        </row>
        <row r="844">
          <cell r="A844">
            <v>1800074</v>
          </cell>
          <cell r="H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5900</v>
          </cell>
          <cell r="AC844">
            <v>0</v>
          </cell>
          <cell r="AD844">
            <v>0</v>
          </cell>
          <cell r="AE844">
            <v>0</v>
          </cell>
          <cell r="AF844">
            <v>0</v>
          </cell>
        </row>
        <row r="845">
          <cell r="A845">
            <v>1800074</v>
          </cell>
          <cell r="H845">
            <v>5900</v>
          </cell>
          <cell r="K845">
            <v>0</v>
          </cell>
          <cell r="L845">
            <v>0</v>
          </cell>
          <cell r="M845">
            <v>-743.56</v>
          </cell>
          <cell r="N845">
            <v>0</v>
          </cell>
          <cell r="O845">
            <v>0</v>
          </cell>
          <cell r="P845">
            <v>0</v>
          </cell>
          <cell r="Q845">
            <v>0</v>
          </cell>
          <cell r="R845">
            <v>0</v>
          </cell>
          <cell r="S845">
            <v>0</v>
          </cell>
          <cell r="T845">
            <v>0</v>
          </cell>
          <cell r="U845">
            <v>0</v>
          </cell>
          <cell r="V845">
            <v>-2062.58</v>
          </cell>
          <cell r="W845">
            <v>0</v>
          </cell>
          <cell r="X845">
            <v>0</v>
          </cell>
          <cell r="Y845">
            <v>0</v>
          </cell>
          <cell r="Z845">
            <v>0</v>
          </cell>
          <cell r="AA845">
            <v>0</v>
          </cell>
          <cell r="AB845">
            <v>0</v>
          </cell>
          <cell r="AC845">
            <v>0</v>
          </cell>
          <cell r="AD845">
            <v>0</v>
          </cell>
          <cell r="AE845">
            <v>0</v>
          </cell>
          <cell r="AF845">
            <v>0</v>
          </cell>
        </row>
        <row r="846">
          <cell r="A846">
            <v>1800074</v>
          </cell>
          <cell r="H846">
            <v>5900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row>
        <row r="847">
          <cell r="A847">
            <v>1800075</v>
          </cell>
          <cell r="B847" t="str">
            <v>1800075</v>
          </cell>
          <cell r="G847" t="str">
            <v>Laptop A80 P 432</v>
          </cell>
          <cell r="H847">
            <v>0</v>
          </cell>
          <cell r="K847">
            <v>0</v>
          </cell>
          <cell r="L847">
            <v>0</v>
          </cell>
          <cell r="M847">
            <v>0</v>
          </cell>
          <cell r="N847">
            <v>0</v>
          </cell>
          <cell r="O847">
            <v>0</v>
          </cell>
          <cell r="P847">
            <v>0</v>
          </cell>
          <cell r="Q847">
            <v>0</v>
          </cell>
          <cell r="R847">
            <v>0</v>
          </cell>
          <cell r="S847">
            <v>0</v>
          </cell>
          <cell r="T847">
            <v>0</v>
          </cell>
          <cell r="U847">
            <v>0</v>
          </cell>
          <cell r="V847">
            <v>-4448.22</v>
          </cell>
          <cell r="W847">
            <v>0</v>
          </cell>
          <cell r="X847">
            <v>0</v>
          </cell>
          <cell r="Y847">
            <v>0</v>
          </cell>
          <cell r="Z847">
            <v>0</v>
          </cell>
          <cell r="AA847">
            <v>0</v>
          </cell>
          <cell r="AB847">
            <v>49500</v>
          </cell>
          <cell r="AC847">
            <v>0</v>
          </cell>
          <cell r="AD847">
            <v>0</v>
          </cell>
          <cell r="AE847">
            <v>0</v>
          </cell>
          <cell r="AF847">
            <v>0</v>
          </cell>
        </row>
        <row r="848">
          <cell r="A848">
            <v>1800075</v>
          </cell>
          <cell r="H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49500</v>
          </cell>
          <cell r="AC848">
            <v>0</v>
          </cell>
          <cell r="AD848">
            <v>0</v>
          </cell>
          <cell r="AE848">
            <v>0</v>
          </cell>
          <cell r="AF848">
            <v>0</v>
          </cell>
        </row>
        <row r="849">
          <cell r="A849">
            <v>1800075</v>
          </cell>
          <cell r="H849">
            <v>49500</v>
          </cell>
          <cell r="K849">
            <v>0</v>
          </cell>
          <cell r="L849">
            <v>0</v>
          </cell>
          <cell r="M849">
            <v>-4448.22</v>
          </cell>
          <cell r="N849">
            <v>0</v>
          </cell>
          <cell r="O849">
            <v>0</v>
          </cell>
          <cell r="P849">
            <v>0</v>
          </cell>
          <cell r="Q849">
            <v>0</v>
          </cell>
          <cell r="R849">
            <v>0</v>
          </cell>
          <cell r="S849">
            <v>0</v>
          </cell>
          <cell r="T849">
            <v>0</v>
          </cell>
          <cell r="U849">
            <v>0</v>
          </cell>
          <cell r="V849">
            <v>-18020.71</v>
          </cell>
          <cell r="W849">
            <v>0</v>
          </cell>
          <cell r="X849">
            <v>0</v>
          </cell>
          <cell r="Y849">
            <v>0</v>
          </cell>
          <cell r="Z849">
            <v>0</v>
          </cell>
          <cell r="AA849">
            <v>0</v>
          </cell>
          <cell r="AB849">
            <v>0</v>
          </cell>
          <cell r="AC849">
            <v>0</v>
          </cell>
          <cell r="AD849">
            <v>0</v>
          </cell>
          <cell r="AE849">
            <v>0</v>
          </cell>
          <cell r="AF849">
            <v>0</v>
          </cell>
        </row>
        <row r="850">
          <cell r="A850">
            <v>1800075</v>
          </cell>
          <cell r="H850">
            <v>49500</v>
          </cell>
          <cell r="K850">
            <v>0</v>
          </cell>
          <cell r="L850">
            <v>0</v>
          </cell>
          <cell r="M850">
            <v>0</v>
          </cell>
          <cell r="N850">
            <v>0</v>
          </cell>
          <cell r="O850">
            <v>0</v>
          </cell>
          <cell r="P850">
            <v>0</v>
          </cell>
          <cell r="Q850">
            <v>0</v>
          </cell>
          <cell r="R850">
            <v>0</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0</v>
          </cell>
        </row>
        <row r="851">
          <cell r="A851">
            <v>1800076</v>
          </cell>
          <cell r="B851" t="str">
            <v>1800076</v>
          </cell>
          <cell r="G851" t="str">
            <v>Laptop A80 P 432</v>
          </cell>
          <cell r="H851">
            <v>0</v>
          </cell>
          <cell r="K851">
            <v>0</v>
          </cell>
          <cell r="L851">
            <v>0</v>
          </cell>
          <cell r="M851">
            <v>0</v>
          </cell>
          <cell r="N851">
            <v>0</v>
          </cell>
          <cell r="O851">
            <v>0</v>
          </cell>
          <cell r="P851">
            <v>0</v>
          </cell>
          <cell r="Q851">
            <v>0</v>
          </cell>
          <cell r="R851">
            <v>0</v>
          </cell>
          <cell r="S851">
            <v>0</v>
          </cell>
          <cell r="T851">
            <v>0</v>
          </cell>
          <cell r="U851">
            <v>0</v>
          </cell>
          <cell r="V851">
            <v>-5533.15</v>
          </cell>
          <cell r="W851">
            <v>0</v>
          </cell>
          <cell r="X851">
            <v>0</v>
          </cell>
          <cell r="Y851">
            <v>0</v>
          </cell>
          <cell r="Z851">
            <v>0</v>
          </cell>
          <cell r="AA851">
            <v>0</v>
          </cell>
          <cell r="AB851">
            <v>49500</v>
          </cell>
          <cell r="AC851">
            <v>0</v>
          </cell>
          <cell r="AD851">
            <v>0</v>
          </cell>
          <cell r="AE851">
            <v>0</v>
          </cell>
          <cell r="AF851">
            <v>0</v>
          </cell>
        </row>
        <row r="852">
          <cell r="A852">
            <v>1800076</v>
          </cell>
          <cell r="H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49500</v>
          </cell>
          <cell r="AC852">
            <v>0</v>
          </cell>
          <cell r="AD852">
            <v>0</v>
          </cell>
          <cell r="AE852">
            <v>0</v>
          </cell>
          <cell r="AF852">
            <v>0</v>
          </cell>
        </row>
        <row r="853">
          <cell r="A853">
            <v>1800076</v>
          </cell>
          <cell r="H853">
            <v>49500</v>
          </cell>
          <cell r="K853">
            <v>0</v>
          </cell>
          <cell r="L853">
            <v>0</v>
          </cell>
          <cell r="M853">
            <v>-5533.15</v>
          </cell>
          <cell r="N853">
            <v>0</v>
          </cell>
          <cell r="O853">
            <v>0</v>
          </cell>
          <cell r="P853">
            <v>0</v>
          </cell>
          <cell r="Q853">
            <v>0</v>
          </cell>
          <cell r="R853">
            <v>0</v>
          </cell>
          <cell r="S853">
            <v>0</v>
          </cell>
          <cell r="T853">
            <v>0</v>
          </cell>
          <cell r="U853">
            <v>0</v>
          </cell>
          <cell r="V853">
            <v>-17586.740000000002</v>
          </cell>
          <cell r="W853">
            <v>0</v>
          </cell>
          <cell r="X853">
            <v>0</v>
          </cell>
          <cell r="Y853">
            <v>0</v>
          </cell>
          <cell r="Z853">
            <v>0</v>
          </cell>
          <cell r="AA853">
            <v>0</v>
          </cell>
          <cell r="AB853">
            <v>0</v>
          </cell>
          <cell r="AC853">
            <v>0</v>
          </cell>
          <cell r="AD853">
            <v>0</v>
          </cell>
          <cell r="AE853">
            <v>0</v>
          </cell>
          <cell r="AF853">
            <v>0</v>
          </cell>
        </row>
        <row r="854">
          <cell r="A854">
            <v>1800076</v>
          </cell>
          <cell r="H854">
            <v>49500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row>
        <row r="855">
          <cell r="A855">
            <v>1800077</v>
          </cell>
          <cell r="B855" t="str">
            <v>1800077</v>
          </cell>
          <cell r="G855" t="str">
            <v>HARD DISK DRIVE ( V-HOST SERVER)</v>
          </cell>
          <cell r="H855">
            <v>0</v>
          </cell>
          <cell r="K855">
            <v>0</v>
          </cell>
          <cell r="L855">
            <v>0</v>
          </cell>
          <cell r="M855">
            <v>0</v>
          </cell>
          <cell r="N855">
            <v>0</v>
          </cell>
          <cell r="O855">
            <v>0</v>
          </cell>
          <cell r="P855">
            <v>0</v>
          </cell>
          <cell r="Q855">
            <v>0</v>
          </cell>
          <cell r="R855">
            <v>0</v>
          </cell>
          <cell r="S855">
            <v>0</v>
          </cell>
          <cell r="T855">
            <v>0</v>
          </cell>
          <cell r="U855">
            <v>0</v>
          </cell>
          <cell r="V855">
            <v>-227.95</v>
          </cell>
          <cell r="W855">
            <v>0</v>
          </cell>
          <cell r="X855">
            <v>0</v>
          </cell>
          <cell r="Y855">
            <v>0</v>
          </cell>
          <cell r="Z855">
            <v>0</v>
          </cell>
          <cell r="AA855">
            <v>0</v>
          </cell>
          <cell r="AB855">
            <v>8000</v>
          </cell>
          <cell r="AC855">
            <v>0</v>
          </cell>
          <cell r="AD855">
            <v>0</v>
          </cell>
          <cell r="AE855">
            <v>0</v>
          </cell>
          <cell r="AF855">
            <v>0</v>
          </cell>
        </row>
        <row r="856">
          <cell r="A856">
            <v>1800077</v>
          </cell>
          <cell r="H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8000</v>
          </cell>
          <cell r="AC856">
            <v>0</v>
          </cell>
          <cell r="AD856">
            <v>0</v>
          </cell>
          <cell r="AE856">
            <v>0</v>
          </cell>
          <cell r="AF856">
            <v>0</v>
          </cell>
        </row>
        <row r="857">
          <cell r="A857">
            <v>1800077</v>
          </cell>
          <cell r="H857">
            <v>8000</v>
          </cell>
          <cell r="K857">
            <v>0</v>
          </cell>
          <cell r="L857">
            <v>0</v>
          </cell>
          <cell r="M857">
            <v>-227.95</v>
          </cell>
          <cell r="N857">
            <v>0</v>
          </cell>
          <cell r="O857">
            <v>0</v>
          </cell>
          <cell r="P857">
            <v>0</v>
          </cell>
          <cell r="Q857">
            <v>0</v>
          </cell>
          <cell r="R857">
            <v>0</v>
          </cell>
          <cell r="S857">
            <v>0</v>
          </cell>
          <cell r="T857">
            <v>0</v>
          </cell>
          <cell r="U857">
            <v>0</v>
          </cell>
          <cell r="V857">
            <v>-3108.82</v>
          </cell>
          <cell r="W857">
            <v>0</v>
          </cell>
          <cell r="X857">
            <v>0</v>
          </cell>
          <cell r="Y857">
            <v>0</v>
          </cell>
          <cell r="Z857">
            <v>0</v>
          </cell>
          <cell r="AA857">
            <v>0</v>
          </cell>
          <cell r="AB857">
            <v>0</v>
          </cell>
          <cell r="AC857">
            <v>0</v>
          </cell>
          <cell r="AD857">
            <v>0</v>
          </cell>
          <cell r="AE857">
            <v>0</v>
          </cell>
          <cell r="AF857">
            <v>0</v>
          </cell>
        </row>
        <row r="858">
          <cell r="A858">
            <v>1800077</v>
          </cell>
          <cell r="H858">
            <v>8000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row>
        <row r="859">
          <cell r="A859">
            <v>1800078</v>
          </cell>
          <cell r="B859" t="str">
            <v>1800078</v>
          </cell>
          <cell r="G859" t="str">
            <v>PENDRIVE</v>
          </cell>
          <cell r="H859">
            <v>0</v>
          </cell>
          <cell r="K859">
            <v>0</v>
          </cell>
          <cell r="L859">
            <v>0</v>
          </cell>
          <cell r="M859">
            <v>0</v>
          </cell>
          <cell r="N859">
            <v>0</v>
          </cell>
          <cell r="O859">
            <v>0</v>
          </cell>
          <cell r="P859">
            <v>0</v>
          </cell>
          <cell r="Q859">
            <v>0</v>
          </cell>
          <cell r="R859">
            <v>0</v>
          </cell>
          <cell r="S859">
            <v>0</v>
          </cell>
          <cell r="T859">
            <v>0</v>
          </cell>
          <cell r="U859">
            <v>0</v>
          </cell>
          <cell r="V859">
            <v>-83.78</v>
          </cell>
          <cell r="W859">
            <v>0</v>
          </cell>
          <cell r="X859">
            <v>0</v>
          </cell>
          <cell r="Y859">
            <v>0</v>
          </cell>
          <cell r="Z859">
            <v>0</v>
          </cell>
          <cell r="AA859">
            <v>0</v>
          </cell>
          <cell r="AB859">
            <v>3475</v>
          </cell>
          <cell r="AC859">
            <v>0</v>
          </cell>
          <cell r="AD859">
            <v>0</v>
          </cell>
          <cell r="AE859">
            <v>0</v>
          </cell>
          <cell r="AF859">
            <v>0</v>
          </cell>
        </row>
        <row r="860">
          <cell r="A860">
            <v>1800078</v>
          </cell>
          <cell r="H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3475</v>
          </cell>
          <cell r="AC860">
            <v>0</v>
          </cell>
          <cell r="AD860">
            <v>0</v>
          </cell>
          <cell r="AE860">
            <v>0</v>
          </cell>
          <cell r="AF860">
            <v>0</v>
          </cell>
        </row>
        <row r="861">
          <cell r="A861">
            <v>1800078</v>
          </cell>
          <cell r="H861">
            <v>3475</v>
          </cell>
          <cell r="K861">
            <v>0</v>
          </cell>
          <cell r="L861">
            <v>0</v>
          </cell>
          <cell r="M861">
            <v>-83.78</v>
          </cell>
          <cell r="N861">
            <v>0</v>
          </cell>
          <cell r="O861">
            <v>0</v>
          </cell>
          <cell r="P861">
            <v>0</v>
          </cell>
          <cell r="Q861">
            <v>0</v>
          </cell>
          <cell r="R861">
            <v>0</v>
          </cell>
          <cell r="S861">
            <v>0</v>
          </cell>
          <cell r="T861">
            <v>0</v>
          </cell>
          <cell r="U861">
            <v>0</v>
          </cell>
          <cell r="V861">
            <v>-1356.49</v>
          </cell>
          <cell r="W861">
            <v>0</v>
          </cell>
          <cell r="X861">
            <v>0</v>
          </cell>
          <cell r="Y861">
            <v>0</v>
          </cell>
          <cell r="Z861">
            <v>0</v>
          </cell>
          <cell r="AA861">
            <v>0</v>
          </cell>
          <cell r="AB861">
            <v>0</v>
          </cell>
          <cell r="AC861">
            <v>0</v>
          </cell>
          <cell r="AD861">
            <v>0</v>
          </cell>
          <cell r="AE861">
            <v>0</v>
          </cell>
          <cell r="AF861">
            <v>0</v>
          </cell>
        </row>
        <row r="862">
          <cell r="A862">
            <v>1800078</v>
          </cell>
          <cell r="H862">
            <v>3475</v>
          </cell>
          <cell r="K862">
            <v>0</v>
          </cell>
          <cell r="L862">
            <v>0</v>
          </cell>
          <cell r="M862">
            <v>0</v>
          </cell>
          <cell r="N862">
            <v>0</v>
          </cell>
          <cell r="O862">
            <v>0</v>
          </cell>
          <cell r="P862">
            <v>0</v>
          </cell>
          <cell r="Q862">
            <v>0</v>
          </cell>
          <cell r="R862">
            <v>0</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0</v>
          </cell>
        </row>
        <row r="863">
          <cell r="A863">
            <v>1800079</v>
          </cell>
          <cell r="B863" t="str">
            <v>1800079</v>
          </cell>
          <cell r="G863" t="str">
            <v>PENDRIVE</v>
          </cell>
          <cell r="H863">
            <v>0</v>
          </cell>
          <cell r="K863">
            <v>0</v>
          </cell>
          <cell r="L863">
            <v>0</v>
          </cell>
          <cell r="M863">
            <v>0</v>
          </cell>
          <cell r="N863">
            <v>0</v>
          </cell>
          <cell r="O863">
            <v>0</v>
          </cell>
          <cell r="P863">
            <v>0</v>
          </cell>
          <cell r="Q863">
            <v>0</v>
          </cell>
          <cell r="R863">
            <v>0</v>
          </cell>
          <cell r="S863">
            <v>0</v>
          </cell>
          <cell r="T863">
            <v>0</v>
          </cell>
          <cell r="U863">
            <v>0</v>
          </cell>
          <cell r="V863">
            <v>-83.78</v>
          </cell>
          <cell r="W863">
            <v>0</v>
          </cell>
          <cell r="X863">
            <v>0</v>
          </cell>
          <cell r="Y863">
            <v>0</v>
          </cell>
          <cell r="Z863">
            <v>0</v>
          </cell>
          <cell r="AA863">
            <v>0</v>
          </cell>
          <cell r="AB863">
            <v>3475</v>
          </cell>
          <cell r="AC863">
            <v>0</v>
          </cell>
          <cell r="AD863">
            <v>0</v>
          </cell>
          <cell r="AE863">
            <v>0</v>
          </cell>
          <cell r="AF863">
            <v>0</v>
          </cell>
        </row>
        <row r="864">
          <cell r="A864">
            <v>1800079</v>
          </cell>
          <cell r="H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3475</v>
          </cell>
          <cell r="AC864">
            <v>0</v>
          </cell>
          <cell r="AD864">
            <v>0</v>
          </cell>
          <cell r="AE864">
            <v>0</v>
          </cell>
          <cell r="AF864">
            <v>0</v>
          </cell>
        </row>
        <row r="865">
          <cell r="A865">
            <v>1800079</v>
          </cell>
          <cell r="H865">
            <v>3475</v>
          </cell>
          <cell r="K865">
            <v>0</v>
          </cell>
          <cell r="L865">
            <v>0</v>
          </cell>
          <cell r="M865">
            <v>-83.78</v>
          </cell>
          <cell r="N865">
            <v>0</v>
          </cell>
          <cell r="O865">
            <v>0</v>
          </cell>
          <cell r="P865">
            <v>0</v>
          </cell>
          <cell r="Q865">
            <v>0</v>
          </cell>
          <cell r="R865">
            <v>0</v>
          </cell>
          <cell r="S865">
            <v>0</v>
          </cell>
          <cell r="T865">
            <v>0</v>
          </cell>
          <cell r="U865">
            <v>0</v>
          </cell>
          <cell r="V865">
            <v>-1356.49</v>
          </cell>
          <cell r="W865">
            <v>0</v>
          </cell>
          <cell r="X865">
            <v>0</v>
          </cell>
          <cell r="Y865">
            <v>0</v>
          </cell>
          <cell r="Z865">
            <v>0</v>
          </cell>
          <cell r="AA865">
            <v>0</v>
          </cell>
          <cell r="AB865">
            <v>0</v>
          </cell>
          <cell r="AC865">
            <v>0</v>
          </cell>
          <cell r="AD865">
            <v>0</v>
          </cell>
          <cell r="AE865">
            <v>0</v>
          </cell>
          <cell r="AF865">
            <v>0</v>
          </cell>
        </row>
        <row r="866">
          <cell r="A866">
            <v>1800079</v>
          </cell>
          <cell r="H866">
            <v>3475</v>
          </cell>
          <cell r="K866">
            <v>0</v>
          </cell>
          <cell r="L866">
            <v>0</v>
          </cell>
          <cell r="M866">
            <v>0</v>
          </cell>
          <cell r="N866">
            <v>0</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0</v>
          </cell>
          <cell r="AE866">
            <v>0</v>
          </cell>
          <cell r="AF866">
            <v>0</v>
          </cell>
        </row>
        <row r="867">
          <cell r="A867">
            <v>1800080</v>
          </cell>
          <cell r="B867" t="str">
            <v>1800080</v>
          </cell>
          <cell r="G867" t="str">
            <v>computer</v>
          </cell>
          <cell r="H867">
            <v>0</v>
          </cell>
          <cell r="K867">
            <v>0</v>
          </cell>
          <cell r="L867">
            <v>0</v>
          </cell>
          <cell r="M867">
            <v>0</v>
          </cell>
          <cell r="N867">
            <v>0</v>
          </cell>
          <cell r="O867">
            <v>0</v>
          </cell>
          <cell r="P867">
            <v>0</v>
          </cell>
          <cell r="Q867">
            <v>0</v>
          </cell>
          <cell r="R867">
            <v>0</v>
          </cell>
          <cell r="S867">
            <v>0</v>
          </cell>
          <cell r="T867">
            <v>0</v>
          </cell>
          <cell r="U867">
            <v>0</v>
          </cell>
          <cell r="V867">
            <v>-3162.74</v>
          </cell>
          <cell r="W867">
            <v>0</v>
          </cell>
          <cell r="X867">
            <v>0</v>
          </cell>
          <cell r="Y867">
            <v>0</v>
          </cell>
          <cell r="Z867">
            <v>0</v>
          </cell>
          <cell r="AA867">
            <v>0</v>
          </cell>
          <cell r="AB867">
            <v>39000</v>
          </cell>
          <cell r="AC867">
            <v>0</v>
          </cell>
          <cell r="AD867">
            <v>0</v>
          </cell>
          <cell r="AE867">
            <v>0</v>
          </cell>
          <cell r="AF867">
            <v>0</v>
          </cell>
        </row>
        <row r="868">
          <cell r="A868">
            <v>1800080</v>
          </cell>
          <cell r="H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39000</v>
          </cell>
          <cell r="AC868">
            <v>0</v>
          </cell>
          <cell r="AD868">
            <v>0</v>
          </cell>
          <cell r="AE868">
            <v>0</v>
          </cell>
          <cell r="AF868">
            <v>0</v>
          </cell>
        </row>
        <row r="869">
          <cell r="A869">
            <v>1800080</v>
          </cell>
          <cell r="H869">
            <v>39000</v>
          </cell>
          <cell r="K869">
            <v>0</v>
          </cell>
          <cell r="L869">
            <v>0</v>
          </cell>
          <cell r="M869">
            <v>-3162.74</v>
          </cell>
          <cell r="N869">
            <v>0</v>
          </cell>
          <cell r="O869">
            <v>0</v>
          </cell>
          <cell r="P869">
            <v>0</v>
          </cell>
          <cell r="Q869">
            <v>0</v>
          </cell>
          <cell r="R869">
            <v>0</v>
          </cell>
          <cell r="S869">
            <v>0</v>
          </cell>
          <cell r="T869">
            <v>0</v>
          </cell>
          <cell r="U869">
            <v>0</v>
          </cell>
          <cell r="V869">
            <v>-14334.9</v>
          </cell>
          <cell r="W869">
            <v>0</v>
          </cell>
          <cell r="X869">
            <v>0</v>
          </cell>
          <cell r="Y869">
            <v>0</v>
          </cell>
          <cell r="Z869">
            <v>0</v>
          </cell>
          <cell r="AA869">
            <v>0</v>
          </cell>
          <cell r="AB869">
            <v>0</v>
          </cell>
          <cell r="AC869">
            <v>0</v>
          </cell>
          <cell r="AD869">
            <v>0</v>
          </cell>
          <cell r="AE869">
            <v>0</v>
          </cell>
          <cell r="AF869">
            <v>0</v>
          </cell>
        </row>
        <row r="870">
          <cell r="A870">
            <v>1800080</v>
          </cell>
          <cell r="H870">
            <v>39000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row>
        <row r="871">
          <cell r="A871">
            <v>1800081</v>
          </cell>
          <cell r="B871" t="str">
            <v>1800081</v>
          </cell>
          <cell r="G871" t="str">
            <v>computer</v>
          </cell>
          <cell r="H871">
            <v>0</v>
          </cell>
          <cell r="K871">
            <v>0</v>
          </cell>
          <cell r="L871">
            <v>0</v>
          </cell>
          <cell r="M871">
            <v>0</v>
          </cell>
          <cell r="N871">
            <v>0</v>
          </cell>
          <cell r="O871">
            <v>0</v>
          </cell>
          <cell r="P871">
            <v>0</v>
          </cell>
          <cell r="Q871">
            <v>0</v>
          </cell>
          <cell r="R871">
            <v>0</v>
          </cell>
          <cell r="S871">
            <v>0</v>
          </cell>
          <cell r="T871">
            <v>0</v>
          </cell>
          <cell r="U871">
            <v>0</v>
          </cell>
          <cell r="V871">
            <v>-24.35</v>
          </cell>
          <cell r="W871">
            <v>0</v>
          </cell>
          <cell r="X871">
            <v>0</v>
          </cell>
          <cell r="Y871">
            <v>0</v>
          </cell>
          <cell r="Z871">
            <v>0</v>
          </cell>
          <cell r="AA871">
            <v>0</v>
          </cell>
          <cell r="AB871">
            <v>22222</v>
          </cell>
          <cell r="AC871">
            <v>0</v>
          </cell>
          <cell r="AD871">
            <v>0</v>
          </cell>
          <cell r="AE871">
            <v>0</v>
          </cell>
          <cell r="AF871">
            <v>0</v>
          </cell>
        </row>
        <row r="872">
          <cell r="A872">
            <v>1800081</v>
          </cell>
          <cell r="H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22222</v>
          </cell>
          <cell r="AC872">
            <v>0</v>
          </cell>
          <cell r="AD872">
            <v>0</v>
          </cell>
          <cell r="AE872">
            <v>0</v>
          </cell>
          <cell r="AF872">
            <v>0</v>
          </cell>
        </row>
        <row r="873">
          <cell r="A873">
            <v>1800081</v>
          </cell>
          <cell r="H873">
            <v>22222</v>
          </cell>
          <cell r="K873">
            <v>0</v>
          </cell>
          <cell r="L873">
            <v>0</v>
          </cell>
          <cell r="M873">
            <v>-24.35</v>
          </cell>
          <cell r="N873">
            <v>0</v>
          </cell>
          <cell r="O873">
            <v>0</v>
          </cell>
          <cell r="P873">
            <v>0</v>
          </cell>
          <cell r="Q873">
            <v>0</v>
          </cell>
          <cell r="R873">
            <v>0</v>
          </cell>
          <cell r="S873">
            <v>0</v>
          </cell>
          <cell r="T873">
            <v>0</v>
          </cell>
          <cell r="U873">
            <v>0</v>
          </cell>
          <cell r="V873">
            <v>-8879.06</v>
          </cell>
          <cell r="W873">
            <v>0</v>
          </cell>
          <cell r="X873">
            <v>0</v>
          </cell>
          <cell r="Y873">
            <v>0</v>
          </cell>
          <cell r="Z873">
            <v>0</v>
          </cell>
          <cell r="AA873">
            <v>0</v>
          </cell>
          <cell r="AB873">
            <v>0</v>
          </cell>
          <cell r="AC873">
            <v>0</v>
          </cell>
          <cell r="AD873">
            <v>0</v>
          </cell>
          <cell r="AE873">
            <v>0</v>
          </cell>
          <cell r="AF873">
            <v>0</v>
          </cell>
        </row>
        <row r="874">
          <cell r="A874">
            <v>1800081</v>
          </cell>
          <cell r="H874">
            <v>22222</v>
          </cell>
          <cell r="K874">
            <v>0</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row>
        <row r="875">
          <cell r="A875">
            <v>1800082</v>
          </cell>
          <cell r="B875" t="str">
            <v>1800082</v>
          </cell>
          <cell r="G875" t="str">
            <v>PRINTER</v>
          </cell>
          <cell r="H875">
            <v>0</v>
          </cell>
          <cell r="K875">
            <v>0</v>
          </cell>
          <cell r="L875">
            <v>0</v>
          </cell>
          <cell r="M875">
            <v>0</v>
          </cell>
          <cell r="N875">
            <v>0</v>
          </cell>
          <cell r="O875">
            <v>0</v>
          </cell>
          <cell r="P875">
            <v>0</v>
          </cell>
          <cell r="Q875">
            <v>0</v>
          </cell>
          <cell r="R875">
            <v>0</v>
          </cell>
          <cell r="S875">
            <v>0</v>
          </cell>
          <cell r="T875">
            <v>0</v>
          </cell>
          <cell r="U875">
            <v>0</v>
          </cell>
          <cell r="V875">
            <v>-5431.36</v>
          </cell>
          <cell r="W875">
            <v>0</v>
          </cell>
          <cell r="X875">
            <v>0</v>
          </cell>
          <cell r="Y875">
            <v>0</v>
          </cell>
          <cell r="Z875">
            <v>0</v>
          </cell>
          <cell r="AA875">
            <v>0</v>
          </cell>
          <cell r="AB875">
            <v>14040</v>
          </cell>
          <cell r="AC875">
            <v>0</v>
          </cell>
          <cell r="AD875">
            <v>0</v>
          </cell>
          <cell r="AE875">
            <v>0</v>
          </cell>
          <cell r="AF875">
            <v>0</v>
          </cell>
        </row>
        <row r="876">
          <cell r="A876">
            <v>1800082</v>
          </cell>
          <cell r="H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14040</v>
          </cell>
          <cell r="AC876">
            <v>0</v>
          </cell>
          <cell r="AD876">
            <v>0</v>
          </cell>
          <cell r="AE876">
            <v>0</v>
          </cell>
          <cell r="AF876">
            <v>0</v>
          </cell>
        </row>
        <row r="877">
          <cell r="A877">
            <v>1800083</v>
          </cell>
          <cell r="H877">
            <v>0</v>
          </cell>
          <cell r="K877">
            <v>0</v>
          </cell>
          <cell r="L877">
            <v>0</v>
          </cell>
          <cell r="M877">
            <v>0</v>
          </cell>
          <cell r="N877">
            <v>0</v>
          </cell>
          <cell r="O877">
            <v>0</v>
          </cell>
          <cell r="P877">
            <v>0</v>
          </cell>
          <cell r="Q877">
            <v>0</v>
          </cell>
          <cell r="R877">
            <v>0</v>
          </cell>
          <cell r="S877">
            <v>0</v>
          </cell>
          <cell r="T877">
            <v>0</v>
          </cell>
          <cell r="U877">
            <v>0</v>
          </cell>
          <cell r="V877">
            <v>-17446.580000000002</v>
          </cell>
          <cell r="W877">
            <v>0</v>
          </cell>
          <cell r="X877">
            <v>0</v>
          </cell>
          <cell r="Y877">
            <v>0</v>
          </cell>
          <cell r="Z877">
            <v>0</v>
          </cell>
          <cell r="AA877">
            <v>0</v>
          </cell>
          <cell r="AB877">
            <v>49750</v>
          </cell>
          <cell r="AC877">
            <v>0</v>
          </cell>
          <cell r="AD877">
            <v>0</v>
          </cell>
          <cell r="AE877">
            <v>0</v>
          </cell>
          <cell r="AF877">
            <v>0</v>
          </cell>
        </row>
        <row r="878">
          <cell r="A878">
            <v>1800083</v>
          </cell>
          <cell r="H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49750</v>
          </cell>
          <cell r="AC878">
            <v>0</v>
          </cell>
          <cell r="AD878">
            <v>0</v>
          </cell>
          <cell r="AE878">
            <v>0</v>
          </cell>
          <cell r="AF878">
            <v>0</v>
          </cell>
        </row>
        <row r="879">
          <cell r="A879">
            <v>1800083</v>
          </cell>
          <cell r="B879" t="str">
            <v>1800083</v>
          </cell>
          <cell r="G879" t="str">
            <v>Computer -Server</v>
          </cell>
        </row>
        <row r="880">
          <cell r="A880">
            <v>1800084</v>
          </cell>
          <cell r="B880" t="str">
            <v>1800084</v>
          </cell>
          <cell r="G880" t="str">
            <v>Computer -Server</v>
          </cell>
          <cell r="H880">
            <v>0</v>
          </cell>
          <cell r="K880">
            <v>0</v>
          </cell>
          <cell r="L880">
            <v>0</v>
          </cell>
          <cell r="M880">
            <v>0</v>
          </cell>
          <cell r="N880">
            <v>0</v>
          </cell>
          <cell r="O880">
            <v>0</v>
          </cell>
          <cell r="P880">
            <v>0</v>
          </cell>
          <cell r="Q880">
            <v>0</v>
          </cell>
          <cell r="R880">
            <v>0</v>
          </cell>
          <cell r="S880">
            <v>0</v>
          </cell>
          <cell r="T880">
            <v>0</v>
          </cell>
          <cell r="U880">
            <v>0</v>
          </cell>
          <cell r="V880">
            <v>-17446.580000000002</v>
          </cell>
          <cell r="W880">
            <v>0</v>
          </cell>
          <cell r="X880">
            <v>0</v>
          </cell>
          <cell r="Y880">
            <v>0</v>
          </cell>
          <cell r="Z880">
            <v>0</v>
          </cell>
          <cell r="AA880">
            <v>0</v>
          </cell>
          <cell r="AB880">
            <v>49750</v>
          </cell>
          <cell r="AC880">
            <v>0</v>
          </cell>
          <cell r="AD880">
            <v>0</v>
          </cell>
          <cell r="AE880">
            <v>0</v>
          </cell>
          <cell r="AF880">
            <v>0</v>
          </cell>
        </row>
        <row r="881">
          <cell r="A881">
            <v>1800084</v>
          </cell>
          <cell r="H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49750</v>
          </cell>
          <cell r="AC881">
            <v>0</v>
          </cell>
          <cell r="AD881">
            <v>0</v>
          </cell>
          <cell r="AE881">
            <v>0</v>
          </cell>
          <cell r="AF881">
            <v>0</v>
          </cell>
        </row>
        <row r="882">
          <cell r="A882">
            <v>1800085</v>
          </cell>
          <cell r="B882" t="str">
            <v>1800085</v>
          </cell>
          <cell r="G882" t="str">
            <v>Hard Disk</v>
          </cell>
          <cell r="H882">
            <v>0</v>
          </cell>
          <cell r="K882">
            <v>0</v>
          </cell>
          <cell r="L882">
            <v>0</v>
          </cell>
          <cell r="M882">
            <v>0</v>
          </cell>
          <cell r="N882">
            <v>0</v>
          </cell>
          <cell r="O882">
            <v>0</v>
          </cell>
          <cell r="P882">
            <v>0</v>
          </cell>
          <cell r="Q882">
            <v>0</v>
          </cell>
          <cell r="R882">
            <v>0</v>
          </cell>
          <cell r="S882">
            <v>0</v>
          </cell>
          <cell r="T882">
            <v>0</v>
          </cell>
          <cell r="U882">
            <v>0</v>
          </cell>
          <cell r="V882">
            <v>-3419.18</v>
          </cell>
          <cell r="W882">
            <v>0</v>
          </cell>
          <cell r="X882">
            <v>0</v>
          </cell>
          <cell r="Y882">
            <v>0</v>
          </cell>
          <cell r="Z882">
            <v>0</v>
          </cell>
          <cell r="AA882">
            <v>0</v>
          </cell>
          <cell r="AB882">
            <v>9750</v>
          </cell>
          <cell r="AC882">
            <v>0</v>
          </cell>
          <cell r="AD882">
            <v>0</v>
          </cell>
          <cell r="AE882">
            <v>0</v>
          </cell>
          <cell r="AF882">
            <v>0</v>
          </cell>
        </row>
        <row r="883">
          <cell r="A883">
            <v>1800085</v>
          </cell>
          <cell r="H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9750</v>
          </cell>
          <cell r="AC883">
            <v>0</v>
          </cell>
          <cell r="AD883">
            <v>0</v>
          </cell>
          <cell r="AE883">
            <v>0</v>
          </cell>
          <cell r="AF883">
            <v>0</v>
          </cell>
        </row>
        <row r="884">
          <cell r="A884">
            <v>1800086</v>
          </cell>
          <cell r="B884" t="str">
            <v>1800086</v>
          </cell>
          <cell r="G884" t="str">
            <v>Hard Disk</v>
          </cell>
          <cell r="H884">
            <v>0</v>
          </cell>
          <cell r="K884">
            <v>0</v>
          </cell>
          <cell r="L884">
            <v>0</v>
          </cell>
          <cell r="M884">
            <v>0</v>
          </cell>
          <cell r="N884">
            <v>0</v>
          </cell>
          <cell r="O884">
            <v>0</v>
          </cell>
          <cell r="P884">
            <v>0</v>
          </cell>
          <cell r="Q884">
            <v>0</v>
          </cell>
          <cell r="R884">
            <v>0</v>
          </cell>
          <cell r="S884">
            <v>0</v>
          </cell>
          <cell r="T884">
            <v>0</v>
          </cell>
          <cell r="U884">
            <v>0</v>
          </cell>
          <cell r="V884">
            <v>-3419.18</v>
          </cell>
          <cell r="W884">
            <v>0</v>
          </cell>
          <cell r="X884">
            <v>0</v>
          </cell>
          <cell r="Y884">
            <v>0</v>
          </cell>
          <cell r="Z884">
            <v>0</v>
          </cell>
          <cell r="AA884">
            <v>0</v>
          </cell>
          <cell r="AB884">
            <v>9750</v>
          </cell>
          <cell r="AC884">
            <v>0</v>
          </cell>
          <cell r="AD884">
            <v>0</v>
          </cell>
          <cell r="AE884">
            <v>0</v>
          </cell>
          <cell r="AF884">
            <v>0</v>
          </cell>
        </row>
        <row r="885">
          <cell r="A885">
            <v>1800086</v>
          </cell>
          <cell r="H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9750</v>
          </cell>
          <cell r="AC885">
            <v>0</v>
          </cell>
          <cell r="AD885">
            <v>0</v>
          </cell>
          <cell r="AE885">
            <v>0</v>
          </cell>
          <cell r="AF885">
            <v>0</v>
          </cell>
        </row>
        <row r="886">
          <cell r="A886">
            <v>1800087</v>
          </cell>
          <cell r="B886" t="str">
            <v>1800087</v>
          </cell>
          <cell r="G886" t="str">
            <v>PRINTER</v>
          </cell>
          <cell r="H886">
            <v>0</v>
          </cell>
          <cell r="K886">
            <v>0</v>
          </cell>
          <cell r="L886">
            <v>0</v>
          </cell>
          <cell r="M886">
            <v>0</v>
          </cell>
          <cell r="N886">
            <v>0</v>
          </cell>
          <cell r="O886">
            <v>0</v>
          </cell>
          <cell r="P886">
            <v>0</v>
          </cell>
          <cell r="Q886">
            <v>0</v>
          </cell>
          <cell r="R886">
            <v>0</v>
          </cell>
          <cell r="S886">
            <v>0</v>
          </cell>
          <cell r="T886">
            <v>0</v>
          </cell>
          <cell r="U886">
            <v>0</v>
          </cell>
          <cell r="V886">
            <v>-1684.29</v>
          </cell>
          <cell r="W886">
            <v>0</v>
          </cell>
          <cell r="X886">
            <v>0</v>
          </cell>
          <cell r="Y886">
            <v>0</v>
          </cell>
          <cell r="Z886">
            <v>0</v>
          </cell>
          <cell r="AA886">
            <v>0</v>
          </cell>
          <cell r="AB886">
            <v>9852</v>
          </cell>
          <cell r="AC886">
            <v>0</v>
          </cell>
          <cell r="AD886">
            <v>0</v>
          </cell>
          <cell r="AE886">
            <v>0</v>
          </cell>
          <cell r="AF886">
            <v>0</v>
          </cell>
        </row>
        <row r="887">
          <cell r="A887">
            <v>1800087</v>
          </cell>
          <cell r="H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9852</v>
          </cell>
          <cell r="AC887">
            <v>0</v>
          </cell>
          <cell r="AD887">
            <v>0</v>
          </cell>
          <cell r="AE887">
            <v>0</v>
          </cell>
          <cell r="AF887">
            <v>0</v>
          </cell>
        </row>
        <row r="888">
          <cell r="A888">
            <v>1800087</v>
          </cell>
          <cell r="H888">
            <v>9852</v>
          </cell>
          <cell r="K888">
            <v>0</v>
          </cell>
          <cell r="L888">
            <v>0</v>
          </cell>
          <cell r="M888">
            <v>-1684.29</v>
          </cell>
          <cell r="N888">
            <v>0</v>
          </cell>
          <cell r="O888">
            <v>0</v>
          </cell>
          <cell r="P888">
            <v>0</v>
          </cell>
          <cell r="Q888">
            <v>0</v>
          </cell>
          <cell r="R888">
            <v>0</v>
          </cell>
          <cell r="S888">
            <v>0</v>
          </cell>
          <cell r="T888">
            <v>0</v>
          </cell>
          <cell r="U888">
            <v>0</v>
          </cell>
          <cell r="V888">
            <v>-3267.08</v>
          </cell>
          <cell r="W888">
            <v>0</v>
          </cell>
          <cell r="X888">
            <v>0</v>
          </cell>
          <cell r="Y888">
            <v>0</v>
          </cell>
          <cell r="Z888">
            <v>0</v>
          </cell>
          <cell r="AA888">
            <v>0</v>
          </cell>
          <cell r="AB888">
            <v>0</v>
          </cell>
          <cell r="AC888">
            <v>0</v>
          </cell>
          <cell r="AD888">
            <v>0</v>
          </cell>
          <cell r="AE888">
            <v>0</v>
          </cell>
          <cell r="AF888">
            <v>0</v>
          </cell>
        </row>
        <row r="889">
          <cell r="A889">
            <v>1800087</v>
          </cell>
          <cell r="H889">
            <v>9852</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row>
        <row r="890">
          <cell r="A890">
            <v>1800088</v>
          </cell>
          <cell r="B890" t="str">
            <v>1800088</v>
          </cell>
          <cell r="G890" t="str">
            <v>PRINTER</v>
          </cell>
          <cell r="H890">
            <v>0</v>
          </cell>
          <cell r="K890">
            <v>0</v>
          </cell>
          <cell r="L890">
            <v>0</v>
          </cell>
          <cell r="M890">
            <v>0</v>
          </cell>
          <cell r="N890">
            <v>0</v>
          </cell>
          <cell r="O890">
            <v>0</v>
          </cell>
          <cell r="P890">
            <v>0</v>
          </cell>
          <cell r="Q890">
            <v>0</v>
          </cell>
          <cell r="R890">
            <v>0</v>
          </cell>
          <cell r="S890">
            <v>0</v>
          </cell>
          <cell r="T890">
            <v>0</v>
          </cell>
          <cell r="U890">
            <v>0</v>
          </cell>
          <cell r="V890">
            <v>-2635.29</v>
          </cell>
          <cell r="W890">
            <v>0</v>
          </cell>
          <cell r="X890">
            <v>0</v>
          </cell>
          <cell r="Y890">
            <v>0</v>
          </cell>
          <cell r="Z890">
            <v>0</v>
          </cell>
          <cell r="AA890">
            <v>0</v>
          </cell>
          <cell r="AB890">
            <v>6950</v>
          </cell>
          <cell r="AC890">
            <v>0</v>
          </cell>
          <cell r="AD890">
            <v>0</v>
          </cell>
          <cell r="AE890">
            <v>0</v>
          </cell>
          <cell r="AF890">
            <v>0</v>
          </cell>
        </row>
        <row r="891">
          <cell r="A891">
            <v>1800088</v>
          </cell>
          <cell r="H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6950</v>
          </cell>
          <cell r="AC891">
            <v>0</v>
          </cell>
          <cell r="AD891">
            <v>0</v>
          </cell>
          <cell r="AE891">
            <v>0</v>
          </cell>
          <cell r="AF891">
            <v>0</v>
          </cell>
        </row>
        <row r="892">
          <cell r="A892">
            <v>1800088</v>
          </cell>
          <cell r="H892">
            <v>6950</v>
          </cell>
          <cell r="K892">
            <v>0</v>
          </cell>
          <cell r="L892">
            <v>0</v>
          </cell>
          <cell r="M892">
            <v>-2635.29</v>
          </cell>
          <cell r="N892">
            <v>0</v>
          </cell>
          <cell r="O892">
            <v>0</v>
          </cell>
          <cell r="P892">
            <v>0</v>
          </cell>
          <cell r="Q892">
            <v>0</v>
          </cell>
          <cell r="R892">
            <v>0</v>
          </cell>
          <cell r="S892">
            <v>0</v>
          </cell>
          <cell r="T892">
            <v>0</v>
          </cell>
          <cell r="U892">
            <v>0</v>
          </cell>
          <cell r="V892">
            <v>-1725.88</v>
          </cell>
          <cell r="W892">
            <v>0</v>
          </cell>
          <cell r="X892">
            <v>0</v>
          </cell>
          <cell r="Y892">
            <v>0</v>
          </cell>
          <cell r="Z892">
            <v>0</v>
          </cell>
          <cell r="AA892">
            <v>0</v>
          </cell>
          <cell r="AB892">
            <v>0</v>
          </cell>
          <cell r="AC892">
            <v>0</v>
          </cell>
          <cell r="AD892">
            <v>0</v>
          </cell>
          <cell r="AE892">
            <v>0</v>
          </cell>
          <cell r="AF892">
            <v>0</v>
          </cell>
        </row>
        <row r="893">
          <cell r="A893">
            <v>1800088</v>
          </cell>
          <cell r="H893">
            <v>6950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row>
        <row r="894">
          <cell r="A894">
            <v>1800089</v>
          </cell>
          <cell r="B894" t="str">
            <v>1800089</v>
          </cell>
          <cell r="G894" t="str">
            <v>Pen Drive</v>
          </cell>
          <cell r="H894">
            <v>0</v>
          </cell>
          <cell r="K894">
            <v>0</v>
          </cell>
          <cell r="L894">
            <v>0</v>
          </cell>
          <cell r="M894">
            <v>0</v>
          </cell>
          <cell r="N894">
            <v>0</v>
          </cell>
          <cell r="O894">
            <v>0</v>
          </cell>
          <cell r="P894">
            <v>0</v>
          </cell>
          <cell r="Q894">
            <v>0</v>
          </cell>
          <cell r="R894">
            <v>0</v>
          </cell>
          <cell r="S894">
            <v>0</v>
          </cell>
          <cell r="T894">
            <v>0</v>
          </cell>
          <cell r="U894">
            <v>0</v>
          </cell>
          <cell r="V894">
            <v>-1201.21</v>
          </cell>
          <cell r="W894">
            <v>0</v>
          </cell>
          <cell r="X894">
            <v>0</v>
          </cell>
          <cell r="Y894">
            <v>0</v>
          </cell>
          <cell r="Z894">
            <v>0</v>
          </cell>
          <cell r="AA894">
            <v>0</v>
          </cell>
          <cell r="AB894">
            <v>5650</v>
          </cell>
          <cell r="AC894">
            <v>0</v>
          </cell>
          <cell r="AD894">
            <v>0</v>
          </cell>
          <cell r="AE894">
            <v>0</v>
          </cell>
          <cell r="AF894">
            <v>0</v>
          </cell>
        </row>
        <row r="895">
          <cell r="A895">
            <v>1800089</v>
          </cell>
          <cell r="H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5650</v>
          </cell>
          <cell r="AC895">
            <v>0</v>
          </cell>
          <cell r="AD895">
            <v>0</v>
          </cell>
          <cell r="AE895">
            <v>0</v>
          </cell>
          <cell r="AF895">
            <v>0</v>
          </cell>
        </row>
        <row r="896">
          <cell r="A896">
            <v>1800089</v>
          </cell>
          <cell r="H896">
            <v>5650</v>
          </cell>
          <cell r="K896">
            <v>0</v>
          </cell>
          <cell r="L896">
            <v>0</v>
          </cell>
          <cell r="M896">
            <v>-1201.21</v>
          </cell>
          <cell r="N896">
            <v>0</v>
          </cell>
          <cell r="O896">
            <v>0</v>
          </cell>
          <cell r="P896">
            <v>0</v>
          </cell>
          <cell r="Q896">
            <v>0</v>
          </cell>
          <cell r="R896">
            <v>0</v>
          </cell>
          <cell r="S896">
            <v>0</v>
          </cell>
          <cell r="T896">
            <v>0</v>
          </cell>
          <cell r="U896">
            <v>0</v>
          </cell>
          <cell r="V896">
            <v>-1779.52</v>
          </cell>
          <cell r="W896">
            <v>0</v>
          </cell>
          <cell r="X896">
            <v>0</v>
          </cell>
          <cell r="Y896">
            <v>0</v>
          </cell>
          <cell r="Z896">
            <v>0</v>
          </cell>
          <cell r="AA896">
            <v>0</v>
          </cell>
          <cell r="AB896">
            <v>0</v>
          </cell>
          <cell r="AC896">
            <v>0</v>
          </cell>
          <cell r="AD896">
            <v>0</v>
          </cell>
          <cell r="AE896">
            <v>0</v>
          </cell>
          <cell r="AF896">
            <v>0</v>
          </cell>
        </row>
        <row r="897">
          <cell r="A897">
            <v>1800089</v>
          </cell>
          <cell r="H897">
            <v>5650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row>
        <row r="898">
          <cell r="A898">
            <v>1800090</v>
          </cell>
          <cell r="B898" t="str">
            <v>1800090</v>
          </cell>
          <cell r="G898" t="str">
            <v>USB PEN-DRIVE</v>
          </cell>
          <cell r="H898">
            <v>0</v>
          </cell>
          <cell r="K898">
            <v>0</v>
          </cell>
          <cell r="L898">
            <v>0</v>
          </cell>
          <cell r="M898">
            <v>0</v>
          </cell>
          <cell r="N898">
            <v>0</v>
          </cell>
          <cell r="O898">
            <v>0</v>
          </cell>
          <cell r="P898">
            <v>0</v>
          </cell>
          <cell r="Q898">
            <v>0</v>
          </cell>
          <cell r="R898">
            <v>0</v>
          </cell>
          <cell r="S898">
            <v>0</v>
          </cell>
          <cell r="T898">
            <v>0</v>
          </cell>
          <cell r="U898">
            <v>0</v>
          </cell>
          <cell r="V898">
            <v>-1034.3</v>
          </cell>
          <cell r="W898">
            <v>0</v>
          </cell>
          <cell r="X898">
            <v>0</v>
          </cell>
          <cell r="Y898">
            <v>0</v>
          </cell>
          <cell r="Z898">
            <v>0</v>
          </cell>
          <cell r="AA898">
            <v>0</v>
          </cell>
          <cell r="AB898">
            <v>3432</v>
          </cell>
          <cell r="AC898">
            <v>0</v>
          </cell>
          <cell r="AD898">
            <v>0</v>
          </cell>
          <cell r="AE898">
            <v>0</v>
          </cell>
          <cell r="AF898">
            <v>0</v>
          </cell>
        </row>
        <row r="899">
          <cell r="A899">
            <v>1800090</v>
          </cell>
          <cell r="H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3432</v>
          </cell>
          <cell r="AC899">
            <v>0</v>
          </cell>
          <cell r="AD899">
            <v>0</v>
          </cell>
          <cell r="AE899">
            <v>0</v>
          </cell>
          <cell r="AF899">
            <v>0</v>
          </cell>
        </row>
        <row r="900">
          <cell r="A900">
            <v>1800091</v>
          </cell>
          <cell r="B900" t="str">
            <v>1800091</v>
          </cell>
          <cell r="G900" t="str">
            <v>USB PEN-DRIVE</v>
          </cell>
          <cell r="H900">
            <v>0</v>
          </cell>
          <cell r="K900">
            <v>0</v>
          </cell>
          <cell r="L900">
            <v>0</v>
          </cell>
          <cell r="M900">
            <v>0</v>
          </cell>
          <cell r="N900">
            <v>0</v>
          </cell>
          <cell r="O900">
            <v>0</v>
          </cell>
          <cell r="P900">
            <v>0</v>
          </cell>
          <cell r="Q900">
            <v>0</v>
          </cell>
          <cell r="R900">
            <v>0</v>
          </cell>
          <cell r="S900">
            <v>0</v>
          </cell>
          <cell r="T900">
            <v>0</v>
          </cell>
          <cell r="U900">
            <v>0</v>
          </cell>
          <cell r="V900">
            <v>-994.52</v>
          </cell>
          <cell r="W900">
            <v>0</v>
          </cell>
          <cell r="X900">
            <v>0</v>
          </cell>
          <cell r="Y900">
            <v>0</v>
          </cell>
          <cell r="Z900">
            <v>0</v>
          </cell>
          <cell r="AA900">
            <v>0</v>
          </cell>
          <cell r="AB900">
            <v>3300</v>
          </cell>
          <cell r="AC900">
            <v>0</v>
          </cell>
          <cell r="AD900">
            <v>0</v>
          </cell>
          <cell r="AE900">
            <v>0</v>
          </cell>
          <cell r="AF900">
            <v>0</v>
          </cell>
        </row>
        <row r="901">
          <cell r="A901">
            <v>1800091</v>
          </cell>
          <cell r="H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3300</v>
          </cell>
          <cell r="AC901">
            <v>0</v>
          </cell>
          <cell r="AD901">
            <v>0</v>
          </cell>
          <cell r="AE901">
            <v>0</v>
          </cell>
          <cell r="AF901">
            <v>0</v>
          </cell>
        </row>
        <row r="902">
          <cell r="A902">
            <v>1800092</v>
          </cell>
          <cell r="B902" t="str">
            <v>1800092</v>
          </cell>
          <cell r="G902" t="str">
            <v>USB PEN-DRIVE</v>
          </cell>
          <cell r="H902">
            <v>0</v>
          </cell>
          <cell r="K902">
            <v>0</v>
          </cell>
          <cell r="L902">
            <v>0</v>
          </cell>
          <cell r="M902">
            <v>0</v>
          </cell>
          <cell r="N902">
            <v>0</v>
          </cell>
          <cell r="O902">
            <v>0</v>
          </cell>
          <cell r="P902">
            <v>0</v>
          </cell>
          <cell r="Q902">
            <v>0</v>
          </cell>
          <cell r="R902">
            <v>0</v>
          </cell>
          <cell r="S902">
            <v>0</v>
          </cell>
          <cell r="T902">
            <v>0</v>
          </cell>
          <cell r="U902">
            <v>0</v>
          </cell>
          <cell r="V902">
            <v>-994.52</v>
          </cell>
          <cell r="W902">
            <v>0</v>
          </cell>
          <cell r="X902">
            <v>0</v>
          </cell>
          <cell r="Y902">
            <v>0</v>
          </cell>
          <cell r="Z902">
            <v>0</v>
          </cell>
          <cell r="AA902">
            <v>0</v>
          </cell>
          <cell r="AB902">
            <v>3300</v>
          </cell>
          <cell r="AC902">
            <v>0</v>
          </cell>
          <cell r="AD902">
            <v>0</v>
          </cell>
          <cell r="AE902">
            <v>0</v>
          </cell>
          <cell r="AF902">
            <v>0</v>
          </cell>
        </row>
        <row r="903">
          <cell r="A903">
            <v>1800092</v>
          </cell>
          <cell r="H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3300</v>
          </cell>
          <cell r="AC903">
            <v>0</v>
          </cell>
          <cell r="AD903">
            <v>0</v>
          </cell>
          <cell r="AE903">
            <v>0</v>
          </cell>
          <cell r="AF903">
            <v>0</v>
          </cell>
        </row>
        <row r="904">
          <cell r="A904">
            <v>1800093</v>
          </cell>
          <cell r="B904" t="str">
            <v>1800093</v>
          </cell>
          <cell r="G904" t="str">
            <v>USB PEN-DRIVE</v>
          </cell>
          <cell r="H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row>
        <row r="905">
          <cell r="A905">
            <v>1800094</v>
          </cell>
          <cell r="B905" t="str">
            <v>1800094</v>
          </cell>
          <cell r="G905" t="str">
            <v>USB PEN-DRIVE</v>
          </cell>
          <cell r="H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row>
        <row r="906">
          <cell r="A906">
            <v>1800095</v>
          </cell>
          <cell r="B906" t="str">
            <v>1800095</v>
          </cell>
          <cell r="G906" t="str">
            <v>USB PEN-DRIVE</v>
          </cell>
          <cell r="H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row>
        <row r="907">
          <cell r="A907">
            <v>1800096</v>
          </cell>
          <cell r="B907" t="str">
            <v>1800096</v>
          </cell>
          <cell r="G907" t="str">
            <v>ACER-ASPIRE-V803</v>
          </cell>
          <cell r="H907">
            <v>0</v>
          </cell>
          <cell r="K907">
            <v>0</v>
          </cell>
          <cell r="L907">
            <v>0</v>
          </cell>
          <cell r="M907">
            <v>0</v>
          </cell>
          <cell r="N907">
            <v>0</v>
          </cell>
          <cell r="O907">
            <v>0</v>
          </cell>
          <cell r="P907">
            <v>0</v>
          </cell>
          <cell r="Q907">
            <v>0</v>
          </cell>
          <cell r="R907">
            <v>0</v>
          </cell>
          <cell r="S907">
            <v>0</v>
          </cell>
          <cell r="T907">
            <v>0</v>
          </cell>
          <cell r="U907">
            <v>0</v>
          </cell>
          <cell r="V907">
            <v>-6257.81</v>
          </cell>
          <cell r="W907">
            <v>0</v>
          </cell>
          <cell r="X907">
            <v>0</v>
          </cell>
          <cell r="Y907">
            <v>0</v>
          </cell>
          <cell r="Z907">
            <v>0</v>
          </cell>
          <cell r="AA907">
            <v>0</v>
          </cell>
          <cell r="AB907">
            <v>22750</v>
          </cell>
          <cell r="AC907">
            <v>0</v>
          </cell>
          <cell r="AD907">
            <v>0</v>
          </cell>
          <cell r="AE907">
            <v>0</v>
          </cell>
          <cell r="AF907">
            <v>0</v>
          </cell>
        </row>
        <row r="908">
          <cell r="A908">
            <v>1800096</v>
          </cell>
          <cell r="H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22750</v>
          </cell>
          <cell r="AC908">
            <v>0</v>
          </cell>
          <cell r="AD908">
            <v>0</v>
          </cell>
          <cell r="AE908">
            <v>0</v>
          </cell>
          <cell r="AF908">
            <v>0</v>
          </cell>
        </row>
        <row r="909">
          <cell r="A909">
            <v>1800097</v>
          </cell>
          <cell r="B909" t="str">
            <v>1800097</v>
          </cell>
          <cell r="G909" t="str">
            <v>HARD DISK</v>
          </cell>
          <cell r="H909">
            <v>0</v>
          </cell>
          <cell r="K909">
            <v>0</v>
          </cell>
          <cell r="L909">
            <v>0</v>
          </cell>
          <cell r="M909">
            <v>0</v>
          </cell>
          <cell r="N909">
            <v>0</v>
          </cell>
          <cell r="O909">
            <v>0</v>
          </cell>
          <cell r="P909">
            <v>0</v>
          </cell>
          <cell r="Q909">
            <v>0</v>
          </cell>
          <cell r="R909">
            <v>0</v>
          </cell>
          <cell r="S909">
            <v>0</v>
          </cell>
          <cell r="T909">
            <v>0</v>
          </cell>
          <cell r="U909">
            <v>0</v>
          </cell>
          <cell r="V909">
            <v>-2386.85</v>
          </cell>
          <cell r="W909">
            <v>0</v>
          </cell>
          <cell r="X909">
            <v>0</v>
          </cell>
          <cell r="Y909">
            <v>0</v>
          </cell>
          <cell r="Z909">
            <v>0</v>
          </cell>
          <cell r="AA909">
            <v>0</v>
          </cell>
          <cell r="AB909">
            <v>9000</v>
          </cell>
          <cell r="AC909">
            <v>0</v>
          </cell>
          <cell r="AD909">
            <v>0</v>
          </cell>
          <cell r="AE909">
            <v>0</v>
          </cell>
          <cell r="AF909">
            <v>0</v>
          </cell>
        </row>
        <row r="910">
          <cell r="A910">
            <v>1800097</v>
          </cell>
          <cell r="H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9000</v>
          </cell>
          <cell r="AC910">
            <v>0</v>
          </cell>
          <cell r="AD910">
            <v>0</v>
          </cell>
          <cell r="AE910">
            <v>0</v>
          </cell>
          <cell r="AF910">
            <v>0</v>
          </cell>
        </row>
        <row r="911">
          <cell r="A911">
            <v>1800098</v>
          </cell>
          <cell r="B911" t="str">
            <v>1800098</v>
          </cell>
          <cell r="G911" t="str">
            <v>SERVER ( COMPUTER)</v>
          </cell>
          <cell r="H911">
            <v>0</v>
          </cell>
          <cell r="K911">
            <v>0</v>
          </cell>
          <cell r="L911">
            <v>0</v>
          </cell>
          <cell r="M911">
            <v>0</v>
          </cell>
          <cell r="N911">
            <v>0</v>
          </cell>
          <cell r="O911">
            <v>0</v>
          </cell>
          <cell r="P911">
            <v>0</v>
          </cell>
          <cell r="Q911">
            <v>0</v>
          </cell>
          <cell r="R911">
            <v>0</v>
          </cell>
          <cell r="S911">
            <v>0</v>
          </cell>
          <cell r="T911">
            <v>0</v>
          </cell>
          <cell r="U911">
            <v>0</v>
          </cell>
          <cell r="V911">
            <v>-4666.8500000000004</v>
          </cell>
          <cell r="W911">
            <v>0</v>
          </cell>
          <cell r="X911">
            <v>0</v>
          </cell>
          <cell r="Y911">
            <v>0</v>
          </cell>
          <cell r="Z911">
            <v>0</v>
          </cell>
          <cell r="AA911">
            <v>0</v>
          </cell>
          <cell r="AB911">
            <v>25500</v>
          </cell>
          <cell r="AC911">
            <v>0</v>
          </cell>
          <cell r="AD911">
            <v>0</v>
          </cell>
          <cell r="AE911">
            <v>0</v>
          </cell>
          <cell r="AF911">
            <v>0</v>
          </cell>
        </row>
        <row r="912">
          <cell r="A912">
            <v>1800098</v>
          </cell>
          <cell r="H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25500</v>
          </cell>
          <cell r="AC912">
            <v>0</v>
          </cell>
          <cell r="AD912">
            <v>0</v>
          </cell>
          <cell r="AE912">
            <v>0</v>
          </cell>
          <cell r="AF912">
            <v>0</v>
          </cell>
        </row>
        <row r="913">
          <cell r="A913">
            <v>1800099</v>
          </cell>
          <cell r="B913" t="str">
            <v>1800099</v>
          </cell>
          <cell r="G913" t="str">
            <v>Computer Server -GNR Noc</v>
          </cell>
          <cell r="H913">
            <v>0</v>
          </cell>
          <cell r="K913">
            <v>0</v>
          </cell>
          <cell r="L913">
            <v>0</v>
          </cell>
          <cell r="M913">
            <v>0</v>
          </cell>
          <cell r="N913">
            <v>0</v>
          </cell>
          <cell r="O913">
            <v>0</v>
          </cell>
          <cell r="P913">
            <v>0</v>
          </cell>
          <cell r="Q913">
            <v>0</v>
          </cell>
          <cell r="R913">
            <v>0</v>
          </cell>
          <cell r="S913">
            <v>0</v>
          </cell>
          <cell r="T913">
            <v>0</v>
          </cell>
          <cell r="U913">
            <v>0</v>
          </cell>
          <cell r="V913">
            <v>-3109.74</v>
          </cell>
          <cell r="W913">
            <v>0</v>
          </cell>
          <cell r="X913">
            <v>0</v>
          </cell>
          <cell r="Y913">
            <v>0</v>
          </cell>
          <cell r="Z913">
            <v>0</v>
          </cell>
          <cell r="AA913">
            <v>0</v>
          </cell>
          <cell r="AB913">
            <v>26520</v>
          </cell>
          <cell r="AC913">
            <v>0</v>
          </cell>
          <cell r="AD913">
            <v>0</v>
          </cell>
          <cell r="AE913">
            <v>0</v>
          </cell>
          <cell r="AF913">
            <v>0</v>
          </cell>
        </row>
        <row r="914">
          <cell r="A914">
            <v>1800099</v>
          </cell>
          <cell r="H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26520</v>
          </cell>
          <cell r="AC914">
            <v>0</v>
          </cell>
          <cell r="AD914">
            <v>0</v>
          </cell>
          <cell r="AE914">
            <v>0</v>
          </cell>
          <cell r="AF914">
            <v>0</v>
          </cell>
        </row>
        <row r="915">
          <cell r="A915">
            <v>1800100</v>
          </cell>
          <cell r="B915" t="str">
            <v>1800100</v>
          </cell>
          <cell r="G915" t="str">
            <v>Computer Server -Paguthan &amp; Dahrej(1)</v>
          </cell>
          <cell r="H915">
            <v>0</v>
          </cell>
          <cell r="K915">
            <v>0</v>
          </cell>
          <cell r="L915">
            <v>0</v>
          </cell>
          <cell r="M915">
            <v>0</v>
          </cell>
          <cell r="N915">
            <v>0</v>
          </cell>
          <cell r="O915">
            <v>0</v>
          </cell>
          <cell r="P915">
            <v>0</v>
          </cell>
          <cell r="Q915">
            <v>0</v>
          </cell>
          <cell r="R915">
            <v>0</v>
          </cell>
          <cell r="S915">
            <v>0</v>
          </cell>
          <cell r="T915">
            <v>0</v>
          </cell>
          <cell r="U915">
            <v>0</v>
          </cell>
          <cell r="V915">
            <v>-3109.74</v>
          </cell>
          <cell r="W915">
            <v>0</v>
          </cell>
          <cell r="X915">
            <v>0</v>
          </cell>
          <cell r="Y915">
            <v>0</v>
          </cell>
          <cell r="Z915">
            <v>0</v>
          </cell>
          <cell r="AA915">
            <v>0</v>
          </cell>
          <cell r="AB915">
            <v>26520</v>
          </cell>
          <cell r="AC915">
            <v>0</v>
          </cell>
          <cell r="AD915">
            <v>0</v>
          </cell>
          <cell r="AE915">
            <v>0</v>
          </cell>
          <cell r="AF915">
            <v>0</v>
          </cell>
        </row>
        <row r="916">
          <cell r="A916">
            <v>1800100</v>
          </cell>
          <cell r="H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26520</v>
          </cell>
          <cell r="AC916">
            <v>0</v>
          </cell>
          <cell r="AD916">
            <v>0</v>
          </cell>
          <cell r="AE916">
            <v>0</v>
          </cell>
          <cell r="AF916">
            <v>0</v>
          </cell>
        </row>
        <row r="917">
          <cell r="A917">
            <v>1800101</v>
          </cell>
          <cell r="B917" t="str">
            <v>1800101</v>
          </cell>
          <cell r="G917" t="str">
            <v>Computer Server - Vapi Pop</v>
          </cell>
          <cell r="H917">
            <v>0</v>
          </cell>
          <cell r="K917">
            <v>0</v>
          </cell>
          <cell r="L917">
            <v>0</v>
          </cell>
          <cell r="M917">
            <v>0</v>
          </cell>
          <cell r="N917">
            <v>0</v>
          </cell>
          <cell r="O917">
            <v>0</v>
          </cell>
          <cell r="P917">
            <v>0</v>
          </cell>
          <cell r="Q917">
            <v>0</v>
          </cell>
          <cell r="R917">
            <v>0</v>
          </cell>
          <cell r="S917">
            <v>0</v>
          </cell>
          <cell r="T917">
            <v>0</v>
          </cell>
          <cell r="U917">
            <v>0</v>
          </cell>
          <cell r="V917">
            <v>-3109.74</v>
          </cell>
          <cell r="W917">
            <v>0</v>
          </cell>
          <cell r="X917">
            <v>0</v>
          </cell>
          <cell r="Y917">
            <v>0</v>
          </cell>
          <cell r="Z917">
            <v>0</v>
          </cell>
          <cell r="AA917">
            <v>0</v>
          </cell>
          <cell r="AB917">
            <v>26520</v>
          </cell>
          <cell r="AC917">
            <v>0</v>
          </cell>
          <cell r="AD917">
            <v>0</v>
          </cell>
          <cell r="AE917">
            <v>0</v>
          </cell>
          <cell r="AF917">
            <v>0</v>
          </cell>
        </row>
        <row r="918">
          <cell r="A918">
            <v>1800101</v>
          </cell>
          <cell r="H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26520</v>
          </cell>
          <cell r="AC918">
            <v>0</v>
          </cell>
          <cell r="AD918">
            <v>0</v>
          </cell>
          <cell r="AE918">
            <v>0</v>
          </cell>
          <cell r="AF918">
            <v>0</v>
          </cell>
        </row>
        <row r="919">
          <cell r="A919">
            <v>1800102</v>
          </cell>
          <cell r="B919" t="str">
            <v>1800102</v>
          </cell>
          <cell r="G919" t="str">
            <v>Computer Server -Paguthan &amp; Dahrej(2)</v>
          </cell>
          <cell r="H919">
            <v>0</v>
          </cell>
          <cell r="K919">
            <v>0</v>
          </cell>
          <cell r="L919">
            <v>0</v>
          </cell>
          <cell r="M919">
            <v>0</v>
          </cell>
          <cell r="N919">
            <v>0</v>
          </cell>
          <cell r="O919">
            <v>0</v>
          </cell>
          <cell r="P919">
            <v>0</v>
          </cell>
          <cell r="Q919">
            <v>0</v>
          </cell>
          <cell r="R919">
            <v>0</v>
          </cell>
          <cell r="S919">
            <v>0</v>
          </cell>
          <cell r="T919">
            <v>0</v>
          </cell>
          <cell r="U919">
            <v>0</v>
          </cell>
          <cell r="V919">
            <v>-3109.74</v>
          </cell>
          <cell r="W919">
            <v>0</v>
          </cell>
          <cell r="X919">
            <v>0</v>
          </cell>
          <cell r="Y919">
            <v>0</v>
          </cell>
          <cell r="Z919">
            <v>0</v>
          </cell>
          <cell r="AA919">
            <v>0</v>
          </cell>
          <cell r="AB919">
            <v>26520</v>
          </cell>
          <cell r="AC919">
            <v>0</v>
          </cell>
          <cell r="AD919">
            <v>0</v>
          </cell>
          <cell r="AE919">
            <v>0</v>
          </cell>
          <cell r="AF919">
            <v>0</v>
          </cell>
        </row>
        <row r="920">
          <cell r="A920">
            <v>1800102</v>
          </cell>
          <cell r="H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26520</v>
          </cell>
          <cell r="AC920">
            <v>0</v>
          </cell>
          <cell r="AD920">
            <v>0</v>
          </cell>
          <cell r="AE920">
            <v>0</v>
          </cell>
          <cell r="AF920">
            <v>0</v>
          </cell>
        </row>
        <row r="921">
          <cell r="A921">
            <v>1800103</v>
          </cell>
          <cell r="B921" t="str">
            <v>1800103</v>
          </cell>
          <cell r="G921" t="str">
            <v>Computer - Server</v>
          </cell>
          <cell r="H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23504</v>
          </cell>
          <cell r="AC921">
            <v>0</v>
          </cell>
          <cell r="AD921">
            <v>0</v>
          </cell>
          <cell r="AE921">
            <v>0</v>
          </cell>
          <cell r="AF921">
            <v>0</v>
          </cell>
        </row>
        <row r="922">
          <cell r="A922">
            <v>1800103</v>
          </cell>
          <cell r="H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23504</v>
          </cell>
          <cell r="AC922">
            <v>0</v>
          </cell>
          <cell r="AD922">
            <v>0</v>
          </cell>
          <cell r="AE922">
            <v>0</v>
          </cell>
          <cell r="AF922">
            <v>0</v>
          </cell>
        </row>
        <row r="923">
          <cell r="A923">
            <v>1800104</v>
          </cell>
          <cell r="B923" t="str">
            <v>1800104</v>
          </cell>
          <cell r="G923" t="str">
            <v>Computer - Lenovo - Q41</v>
          </cell>
          <cell r="H923">
            <v>0</v>
          </cell>
          <cell r="K923">
            <v>0</v>
          </cell>
          <cell r="L923">
            <v>0</v>
          </cell>
          <cell r="M923">
            <v>0</v>
          </cell>
          <cell r="N923">
            <v>0</v>
          </cell>
          <cell r="O923">
            <v>0</v>
          </cell>
          <cell r="P923">
            <v>0</v>
          </cell>
          <cell r="Q923">
            <v>0</v>
          </cell>
          <cell r="R923">
            <v>0</v>
          </cell>
          <cell r="S923">
            <v>0</v>
          </cell>
          <cell r="T923">
            <v>0</v>
          </cell>
          <cell r="U923">
            <v>0</v>
          </cell>
          <cell r="V923">
            <v>-584.47</v>
          </cell>
          <cell r="W923">
            <v>0</v>
          </cell>
          <cell r="X923">
            <v>0</v>
          </cell>
          <cell r="Y923">
            <v>0</v>
          </cell>
          <cell r="Z923">
            <v>0</v>
          </cell>
          <cell r="AA923">
            <v>0</v>
          </cell>
          <cell r="AB923">
            <v>23188</v>
          </cell>
          <cell r="AC923">
            <v>0</v>
          </cell>
          <cell r="AD923">
            <v>0</v>
          </cell>
          <cell r="AE923">
            <v>0</v>
          </cell>
          <cell r="AF923">
            <v>0</v>
          </cell>
        </row>
        <row r="924">
          <cell r="A924">
            <v>1800104</v>
          </cell>
          <cell r="H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23188</v>
          </cell>
          <cell r="AC924">
            <v>0</v>
          </cell>
          <cell r="AD924">
            <v>0</v>
          </cell>
          <cell r="AE924">
            <v>0</v>
          </cell>
          <cell r="AF924">
            <v>0</v>
          </cell>
        </row>
        <row r="925">
          <cell r="A925">
            <v>1800105</v>
          </cell>
          <cell r="B925" t="str">
            <v>1800105</v>
          </cell>
          <cell r="G925" t="str">
            <v>Computer - Lenovo - Q41</v>
          </cell>
          <cell r="H925">
            <v>0</v>
          </cell>
          <cell r="K925">
            <v>0</v>
          </cell>
          <cell r="L925">
            <v>0</v>
          </cell>
          <cell r="M925">
            <v>0</v>
          </cell>
          <cell r="N925">
            <v>0</v>
          </cell>
          <cell r="O925">
            <v>0</v>
          </cell>
          <cell r="P925">
            <v>0</v>
          </cell>
          <cell r="Q925">
            <v>0</v>
          </cell>
          <cell r="R925">
            <v>0</v>
          </cell>
          <cell r="S925">
            <v>0</v>
          </cell>
          <cell r="T925">
            <v>0</v>
          </cell>
          <cell r="U925">
            <v>0</v>
          </cell>
          <cell r="V925">
            <v>-584.47</v>
          </cell>
          <cell r="W925">
            <v>0</v>
          </cell>
          <cell r="X925">
            <v>0</v>
          </cell>
          <cell r="Y925">
            <v>0</v>
          </cell>
          <cell r="Z925">
            <v>0</v>
          </cell>
          <cell r="AA925">
            <v>0</v>
          </cell>
          <cell r="AB925">
            <v>23188</v>
          </cell>
          <cell r="AC925">
            <v>0</v>
          </cell>
          <cell r="AD925">
            <v>0</v>
          </cell>
          <cell r="AE925">
            <v>0</v>
          </cell>
          <cell r="AF925">
            <v>0</v>
          </cell>
        </row>
        <row r="926">
          <cell r="A926">
            <v>1800105</v>
          </cell>
          <cell r="H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23188</v>
          </cell>
          <cell r="AC926">
            <v>0</v>
          </cell>
          <cell r="AD926">
            <v>0</v>
          </cell>
          <cell r="AE926">
            <v>0</v>
          </cell>
          <cell r="AF926">
            <v>0</v>
          </cell>
        </row>
        <row r="927">
          <cell r="A927">
            <v>1800106</v>
          </cell>
          <cell r="B927" t="str">
            <v>1800106</v>
          </cell>
          <cell r="G927" t="str">
            <v>Computer - Lenovo - Q41</v>
          </cell>
          <cell r="H927">
            <v>0</v>
          </cell>
          <cell r="K927">
            <v>0</v>
          </cell>
          <cell r="L927">
            <v>0</v>
          </cell>
          <cell r="M927">
            <v>0</v>
          </cell>
          <cell r="N927">
            <v>0</v>
          </cell>
          <cell r="O927">
            <v>0</v>
          </cell>
          <cell r="P927">
            <v>0</v>
          </cell>
          <cell r="Q927">
            <v>0</v>
          </cell>
          <cell r="R927">
            <v>0</v>
          </cell>
          <cell r="S927">
            <v>0</v>
          </cell>
          <cell r="T927">
            <v>0</v>
          </cell>
          <cell r="U927">
            <v>0</v>
          </cell>
          <cell r="V927">
            <v>-584.47</v>
          </cell>
          <cell r="W927">
            <v>0</v>
          </cell>
          <cell r="X927">
            <v>0</v>
          </cell>
          <cell r="Y927">
            <v>0</v>
          </cell>
          <cell r="Z927">
            <v>0</v>
          </cell>
          <cell r="AA927">
            <v>0</v>
          </cell>
          <cell r="AB927">
            <v>23188</v>
          </cell>
          <cell r="AC927">
            <v>0</v>
          </cell>
          <cell r="AD927">
            <v>0</v>
          </cell>
          <cell r="AE927">
            <v>0</v>
          </cell>
          <cell r="AF927">
            <v>0</v>
          </cell>
        </row>
        <row r="928">
          <cell r="A928">
            <v>1800106</v>
          </cell>
          <cell r="H928">
            <v>0</v>
          </cell>
          <cell r="K928">
            <v>0</v>
          </cell>
          <cell r="L928">
            <v>0</v>
          </cell>
          <cell r="M928">
            <v>0</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23188</v>
          </cell>
          <cell r="AC928">
            <v>0</v>
          </cell>
          <cell r="AD928">
            <v>0</v>
          </cell>
          <cell r="AE928">
            <v>0</v>
          </cell>
          <cell r="AF928">
            <v>0</v>
          </cell>
        </row>
        <row r="929">
          <cell r="A929">
            <v>1800107</v>
          </cell>
          <cell r="B929" t="str">
            <v>1800107</v>
          </cell>
          <cell r="G929" t="str">
            <v>Computer - Lenovo - Q41</v>
          </cell>
          <cell r="H929">
            <v>0</v>
          </cell>
          <cell r="K929">
            <v>0</v>
          </cell>
          <cell r="L929">
            <v>0</v>
          </cell>
          <cell r="M929">
            <v>0</v>
          </cell>
          <cell r="N929">
            <v>0</v>
          </cell>
          <cell r="O929">
            <v>0</v>
          </cell>
          <cell r="P929">
            <v>0</v>
          </cell>
          <cell r="Q929">
            <v>0</v>
          </cell>
          <cell r="R929">
            <v>0</v>
          </cell>
          <cell r="S929">
            <v>0</v>
          </cell>
          <cell r="T929">
            <v>0</v>
          </cell>
          <cell r="U929">
            <v>0</v>
          </cell>
          <cell r="V929">
            <v>-584.47</v>
          </cell>
          <cell r="W929">
            <v>0</v>
          </cell>
          <cell r="X929">
            <v>0</v>
          </cell>
          <cell r="Y929">
            <v>0</v>
          </cell>
          <cell r="Z929">
            <v>0</v>
          </cell>
          <cell r="AA929">
            <v>0</v>
          </cell>
          <cell r="AB929">
            <v>23188</v>
          </cell>
          <cell r="AC929">
            <v>0</v>
          </cell>
          <cell r="AD929">
            <v>0</v>
          </cell>
          <cell r="AE929">
            <v>0</v>
          </cell>
          <cell r="AF929">
            <v>0</v>
          </cell>
        </row>
        <row r="930">
          <cell r="A930">
            <v>1800107</v>
          </cell>
          <cell r="H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23188</v>
          </cell>
          <cell r="AC930">
            <v>0</v>
          </cell>
          <cell r="AD930">
            <v>0</v>
          </cell>
          <cell r="AE930">
            <v>0</v>
          </cell>
          <cell r="AF930">
            <v>0</v>
          </cell>
        </row>
        <row r="931">
          <cell r="A931">
            <v>1800108</v>
          </cell>
          <cell r="B931" t="str">
            <v>1800108</v>
          </cell>
          <cell r="G931" t="str">
            <v>Computer - INFINITI -PRO - BL- 1230</v>
          </cell>
          <cell r="H931">
            <v>0</v>
          </cell>
          <cell r="K931">
            <v>0</v>
          </cell>
          <cell r="L931">
            <v>0</v>
          </cell>
          <cell r="M931">
            <v>0</v>
          </cell>
          <cell r="N931">
            <v>0</v>
          </cell>
          <cell r="O931">
            <v>0</v>
          </cell>
          <cell r="P931">
            <v>0</v>
          </cell>
          <cell r="Q931">
            <v>0</v>
          </cell>
          <cell r="R931">
            <v>0</v>
          </cell>
          <cell r="S931">
            <v>0</v>
          </cell>
          <cell r="T931">
            <v>0</v>
          </cell>
          <cell r="U931">
            <v>0</v>
          </cell>
          <cell r="V931">
            <v>-3019.18</v>
          </cell>
          <cell r="W931">
            <v>0</v>
          </cell>
          <cell r="X931">
            <v>0</v>
          </cell>
          <cell r="Y931">
            <v>0</v>
          </cell>
          <cell r="Z931">
            <v>0</v>
          </cell>
          <cell r="AA931">
            <v>0</v>
          </cell>
          <cell r="AB931">
            <v>29000</v>
          </cell>
          <cell r="AC931">
            <v>0</v>
          </cell>
          <cell r="AD931">
            <v>0</v>
          </cell>
          <cell r="AE931">
            <v>0</v>
          </cell>
          <cell r="AF931">
            <v>0</v>
          </cell>
        </row>
        <row r="932">
          <cell r="A932">
            <v>1800108</v>
          </cell>
          <cell r="H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29000</v>
          </cell>
          <cell r="AC932">
            <v>0</v>
          </cell>
          <cell r="AD932">
            <v>0</v>
          </cell>
          <cell r="AE932">
            <v>0</v>
          </cell>
          <cell r="AF932">
            <v>0</v>
          </cell>
        </row>
        <row r="933">
          <cell r="A933">
            <v>1800109</v>
          </cell>
          <cell r="B933" t="str">
            <v>1800109</v>
          </cell>
          <cell r="G933" t="str">
            <v>Laptop - Comapq</v>
          </cell>
          <cell r="H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row>
        <row r="934">
          <cell r="A934">
            <v>1800110</v>
          </cell>
          <cell r="B934" t="str">
            <v>1800110</v>
          </cell>
          <cell r="G934" t="str">
            <v>Laptop - Comapq</v>
          </cell>
          <cell r="H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0</v>
          </cell>
        </row>
        <row r="935">
          <cell r="A935">
            <v>1900000</v>
          </cell>
          <cell r="B935" t="str">
            <v>1900000</v>
          </cell>
          <cell r="G935" t="str">
            <v>SANTRO CAR</v>
          </cell>
          <cell r="H935">
            <v>377258</v>
          </cell>
          <cell r="K935">
            <v>0</v>
          </cell>
          <cell r="L935">
            <v>0</v>
          </cell>
          <cell r="M935">
            <v>-244565</v>
          </cell>
          <cell r="N935">
            <v>0</v>
          </cell>
          <cell r="O935">
            <v>0</v>
          </cell>
          <cell r="P935">
            <v>0</v>
          </cell>
          <cell r="Q935">
            <v>0</v>
          </cell>
          <cell r="R935">
            <v>0</v>
          </cell>
          <cell r="S935">
            <v>0</v>
          </cell>
          <cell r="T935">
            <v>0</v>
          </cell>
          <cell r="U935">
            <v>0</v>
          </cell>
          <cell r="V935">
            <v>-34354.22</v>
          </cell>
          <cell r="W935">
            <v>0</v>
          </cell>
          <cell r="X935">
            <v>0</v>
          </cell>
          <cell r="Y935">
            <v>0</v>
          </cell>
          <cell r="Z935">
            <v>0</v>
          </cell>
          <cell r="AA935">
            <v>0</v>
          </cell>
          <cell r="AB935">
            <v>0</v>
          </cell>
          <cell r="AC935">
            <v>0</v>
          </cell>
          <cell r="AD935">
            <v>0</v>
          </cell>
          <cell r="AE935">
            <v>0</v>
          </cell>
          <cell r="AF935">
            <v>0</v>
          </cell>
        </row>
        <row r="936">
          <cell r="A936">
            <v>1900000</v>
          </cell>
          <cell r="H936">
            <v>377258</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row>
        <row r="937">
          <cell r="A937">
            <v>1900000</v>
          </cell>
          <cell r="H937">
            <v>377258</v>
          </cell>
          <cell r="K937">
            <v>0</v>
          </cell>
          <cell r="L937">
            <v>0</v>
          </cell>
          <cell r="M937">
            <v>-278919.21999999997</v>
          </cell>
          <cell r="N937">
            <v>0</v>
          </cell>
          <cell r="O937">
            <v>0</v>
          </cell>
          <cell r="P937">
            <v>0</v>
          </cell>
          <cell r="Q937">
            <v>0</v>
          </cell>
          <cell r="R937">
            <v>0</v>
          </cell>
          <cell r="S937">
            <v>0</v>
          </cell>
          <cell r="T937">
            <v>0</v>
          </cell>
          <cell r="U937">
            <v>0</v>
          </cell>
          <cell r="V937">
            <v>-25459.91</v>
          </cell>
          <cell r="W937">
            <v>0</v>
          </cell>
          <cell r="X937">
            <v>0</v>
          </cell>
          <cell r="Y937">
            <v>0</v>
          </cell>
          <cell r="Z937">
            <v>0</v>
          </cell>
          <cell r="AA937">
            <v>0</v>
          </cell>
          <cell r="AB937">
            <v>0</v>
          </cell>
          <cell r="AC937">
            <v>0</v>
          </cell>
          <cell r="AD937">
            <v>0</v>
          </cell>
          <cell r="AE937">
            <v>0</v>
          </cell>
          <cell r="AF937">
            <v>0</v>
          </cell>
        </row>
        <row r="938">
          <cell r="A938">
            <v>1900000</v>
          </cell>
          <cell r="H938">
            <v>377258</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row>
        <row r="939">
          <cell r="A939">
            <v>1900001</v>
          </cell>
          <cell r="B939" t="str">
            <v>1900001</v>
          </cell>
          <cell r="G939" t="str">
            <v>SCOOTER</v>
          </cell>
          <cell r="H939">
            <v>34567</v>
          </cell>
          <cell r="K939">
            <v>0</v>
          </cell>
          <cell r="L939">
            <v>0</v>
          </cell>
          <cell r="M939">
            <v>-23671</v>
          </cell>
          <cell r="N939">
            <v>0</v>
          </cell>
          <cell r="O939">
            <v>0</v>
          </cell>
          <cell r="P939">
            <v>0</v>
          </cell>
          <cell r="Q939">
            <v>0</v>
          </cell>
          <cell r="R939">
            <v>0</v>
          </cell>
          <cell r="S939">
            <v>0</v>
          </cell>
          <cell r="T939">
            <v>0</v>
          </cell>
          <cell r="U939">
            <v>0</v>
          </cell>
          <cell r="V939">
            <v>-2820.97</v>
          </cell>
          <cell r="W939">
            <v>0</v>
          </cell>
          <cell r="X939">
            <v>0</v>
          </cell>
          <cell r="Y939">
            <v>0</v>
          </cell>
          <cell r="Z939">
            <v>0</v>
          </cell>
          <cell r="AA939">
            <v>0</v>
          </cell>
          <cell r="AB939">
            <v>0</v>
          </cell>
          <cell r="AC939">
            <v>0</v>
          </cell>
          <cell r="AD939">
            <v>0</v>
          </cell>
          <cell r="AE939">
            <v>0</v>
          </cell>
          <cell r="AF939">
            <v>0</v>
          </cell>
        </row>
        <row r="940">
          <cell r="A940">
            <v>1900001</v>
          </cell>
          <cell r="H940">
            <v>34567</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row>
        <row r="941">
          <cell r="A941">
            <v>1900001</v>
          </cell>
          <cell r="H941">
            <v>34567</v>
          </cell>
          <cell r="K941">
            <v>0</v>
          </cell>
          <cell r="L941">
            <v>0</v>
          </cell>
          <cell r="M941">
            <v>-26491.97</v>
          </cell>
          <cell r="N941">
            <v>0</v>
          </cell>
          <cell r="O941">
            <v>0</v>
          </cell>
          <cell r="P941">
            <v>0</v>
          </cell>
          <cell r="Q941">
            <v>0</v>
          </cell>
          <cell r="R941">
            <v>0</v>
          </cell>
          <cell r="S941">
            <v>0</v>
          </cell>
          <cell r="T941">
            <v>0</v>
          </cell>
          <cell r="U941">
            <v>0</v>
          </cell>
          <cell r="V941">
            <v>-2090.63</v>
          </cell>
          <cell r="W941">
            <v>0</v>
          </cell>
          <cell r="X941">
            <v>0</v>
          </cell>
          <cell r="Y941">
            <v>0</v>
          </cell>
          <cell r="Z941">
            <v>0</v>
          </cell>
          <cell r="AA941">
            <v>0</v>
          </cell>
          <cell r="AB941">
            <v>0</v>
          </cell>
          <cell r="AC941">
            <v>0</v>
          </cell>
          <cell r="AD941">
            <v>0</v>
          </cell>
          <cell r="AE941">
            <v>0</v>
          </cell>
          <cell r="AF941">
            <v>0</v>
          </cell>
        </row>
        <row r="942">
          <cell r="A942">
            <v>1900001</v>
          </cell>
          <cell r="H942">
            <v>34567</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row>
        <row r="943">
          <cell r="A943">
            <v>1900002</v>
          </cell>
          <cell r="B943" t="str">
            <v>1900002</v>
          </cell>
          <cell r="G943" t="str">
            <v>MOTOTRCYCLE</v>
          </cell>
          <cell r="H943">
            <v>48377</v>
          </cell>
          <cell r="K943">
            <v>0</v>
          </cell>
          <cell r="L943">
            <v>0</v>
          </cell>
          <cell r="M943">
            <v>-4873</v>
          </cell>
          <cell r="N943">
            <v>0</v>
          </cell>
          <cell r="O943">
            <v>0</v>
          </cell>
          <cell r="P943">
            <v>0</v>
          </cell>
          <cell r="Q943">
            <v>0</v>
          </cell>
          <cell r="R943">
            <v>0</v>
          </cell>
          <cell r="S943">
            <v>0</v>
          </cell>
          <cell r="T943">
            <v>0</v>
          </cell>
          <cell r="U943">
            <v>0</v>
          </cell>
          <cell r="V943">
            <v>-11263.19</v>
          </cell>
          <cell r="W943">
            <v>0</v>
          </cell>
          <cell r="X943">
            <v>0</v>
          </cell>
          <cell r="Y943">
            <v>0</v>
          </cell>
          <cell r="Z943">
            <v>0</v>
          </cell>
          <cell r="AA943">
            <v>0</v>
          </cell>
          <cell r="AB943">
            <v>0</v>
          </cell>
          <cell r="AC943">
            <v>0</v>
          </cell>
          <cell r="AD943">
            <v>0</v>
          </cell>
          <cell r="AE943">
            <v>0</v>
          </cell>
          <cell r="AF943">
            <v>0</v>
          </cell>
        </row>
        <row r="944">
          <cell r="A944">
            <v>1900002</v>
          </cell>
          <cell r="H944">
            <v>48377</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row>
        <row r="945">
          <cell r="A945">
            <v>1900002</v>
          </cell>
          <cell r="H945">
            <v>48377</v>
          </cell>
          <cell r="K945">
            <v>0</v>
          </cell>
          <cell r="L945">
            <v>0</v>
          </cell>
          <cell r="M945">
            <v>-16136.19</v>
          </cell>
          <cell r="N945">
            <v>0</v>
          </cell>
          <cell r="O945">
            <v>0</v>
          </cell>
          <cell r="P945">
            <v>0</v>
          </cell>
          <cell r="Q945">
            <v>0</v>
          </cell>
          <cell r="R945">
            <v>0</v>
          </cell>
          <cell r="S945">
            <v>0</v>
          </cell>
          <cell r="T945">
            <v>0</v>
          </cell>
          <cell r="U945">
            <v>0</v>
          </cell>
          <cell r="V945">
            <v>-8347.15</v>
          </cell>
          <cell r="W945">
            <v>0</v>
          </cell>
          <cell r="X945">
            <v>0</v>
          </cell>
          <cell r="Y945">
            <v>0</v>
          </cell>
          <cell r="Z945">
            <v>0</v>
          </cell>
          <cell r="AA945">
            <v>0</v>
          </cell>
          <cell r="AB945">
            <v>0</v>
          </cell>
          <cell r="AC945">
            <v>0</v>
          </cell>
          <cell r="AD945">
            <v>0</v>
          </cell>
          <cell r="AE945">
            <v>0</v>
          </cell>
          <cell r="AF945">
            <v>0</v>
          </cell>
        </row>
        <row r="946">
          <cell r="A946">
            <v>1900002</v>
          </cell>
          <cell r="H946">
            <v>48377</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row>
        <row r="947">
          <cell r="A947">
            <v>1900003</v>
          </cell>
          <cell r="B947" t="str">
            <v>1900003</v>
          </cell>
          <cell r="G947" t="str">
            <v>Motor Cycle</v>
          </cell>
          <cell r="H947">
            <v>0</v>
          </cell>
          <cell r="K947">
            <v>0</v>
          </cell>
          <cell r="L947">
            <v>0</v>
          </cell>
          <cell r="M947">
            <v>0</v>
          </cell>
          <cell r="N947">
            <v>0</v>
          </cell>
          <cell r="O947">
            <v>0</v>
          </cell>
          <cell r="P947">
            <v>0</v>
          </cell>
          <cell r="Q947">
            <v>0</v>
          </cell>
          <cell r="R947">
            <v>0</v>
          </cell>
          <cell r="S947">
            <v>0</v>
          </cell>
          <cell r="T947">
            <v>0</v>
          </cell>
          <cell r="U947">
            <v>0</v>
          </cell>
          <cell r="V947">
            <v>-595.15</v>
          </cell>
          <cell r="W947">
            <v>0</v>
          </cell>
          <cell r="X947">
            <v>0</v>
          </cell>
          <cell r="Y947">
            <v>0</v>
          </cell>
          <cell r="Z947">
            <v>0</v>
          </cell>
          <cell r="AA947">
            <v>0</v>
          </cell>
          <cell r="AB947">
            <v>4560</v>
          </cell>
          <cell r="AC947">
            <v>0</v>
          </cell>
          <cell r="AD947">
            <v>0</v>
          </cell>
          <cell r="AE947">
            <v>0</v>
          </cell>
          <cell r="AF947">
            <v>0</v>
          </cell>
        </row>
        <row r="948">
          <cell r="A948">
            <v>1900003</v>
          </cell>
          <cell r="H948">
            <v>0</v>
          </cell>
          <cell r="K948">
            <v>0</v>
          </cell>
          <cell r="L948">
            <v>0</v>
          </cell>
          <cell r="M948">
            <v>0</v>
          </cell>
          <cell r="N948">
            <v>0</v>
          </cell>
          <cell r="O948">
            <v>0</v>
          </cell>
          <cell r="P948">
            <v>0</v>
          </cell>
          <cell r="Q948">
            <v>0</v>
          </cell>
          <cell r="R948">
            <v>0</v>
          </cell>
          <cell r="S948">
            <v>0</v>
          </cell>
          <cell r="T948">
            <v>0</v>
          </cell>
          <cell r="U948">
            <v>0</v>
          </cell>
          <cell r="V948">
            <v>0</v>
          </cell>
          <cell r="W948">
            <v>0</v>
          </cell>
          <cell r="X948">
            <v>0</v>
          </cell>
          <cell r="Y948">
            <v>0</v>
          </cell>
          <cell r="Z948">
            <v>0</v>
          </cell>
          <cell r="AA948">
            <v>0</v>
          </cell>
          <cell r="AB948">
            <v>4560</v>
          </cell>
          <cell r="AC948">
            <v>0</v>
          </cell>
          <cell r="AD948">
            <v>0</v>
          </cell>
          <cell r="AE948">
            <v>0</v>
          </cell>
          <cell r="AF948">
            <v>0</v>
          </cell>
        </row>
        <row r="949">
          <cell r="A949">
            <v>1900003</v>
          </cell>
          <cell r="H949">
            <v>4560</v>
          </cell>
          <cell r="K949">
            <v>0</v>
          </cell>
          <cell r="L949">
            <v>0</v>
          </cell>
          <cell r="M949">
            <v>-595.15</v>
          </cell>
          <cell r="N949">
            <v>0</v>
          </cell>
          <cell r="O949">
            <v>0</v>
          </cell>
          <cell r="P949">
            <v>0</v>
          </cell>
          <cell r="Q949">
            <v>0</v>
          </cell>
          <cell r="R949">
            <v>0</v>
          </cell>
          <cell r="S949">
            <v>0</v>
          </cell>
          <cell r="T949">
            <v>0</v>
          </cell>
          <cell r="U949">
            <v>0</v>
          </cell>
          <cell r="V949">
            <v>-1026.5</v>
          </cell>
          <cell r="W949">
            <v>0</v>
          </cell>
          <cell r="X949">
            <v>0</v>
          </cell>
          <cell r="Y949">
            <v>0</v>
          </cell>
          <cell r="Z949">
            <v>0</v>
          </cell>
          <cell r="AA949">
            <v>0</v>
          </cell>
          <cell r="AB949">
            <v>0</v>
          </cell>
          <cell r="AC949">
            <v>0</v>
          </cell>
          <cell r="AD949">
            <v>0</v>
          </cell>
          <cell r="AE949">
            <v>0</v>
          </cell>
          <cell r="AF949">
            <v>0</v>
          </cell>
        </row>
        <row r="950">
          <cell r="A950">
            <v>1900003</v>
          </cell>
          <cell r="H950">
            <v>4560</v>
          </cell>
          <cell r="K950">
            <v>0</v>
          </cell>
          <cell r="L950">
            <v>0</v>
          </cell>
          <cell r="M950">
            <v>0</v>
          </cell>
          <cell r="N950">
            <v>0</v>
          </cell>
          <cell r="O950">
            <v>0</v>
          </cell>
          <cell r="P950">
            <v>0</v>
          </cell>
          <cell r="Q950">
            <v>0</v>
          </cell>
          <cell r="R950">
            <v>0</v>
          </cell>
          <cell r="S950">
            <v>0</v>
          </cell>
          <cell r="T950">
            <v>0</v>
          </cell>
          <cell r="U950">
            <v>0</v>
          </cell>
          <cell r="V950">
            <v>0</v>
          </cell>
          <cell r="W950">
            <v>0</v>
          </cell>
          <cell r="X950">
            <v>0</v>
          </cell>
          <cell r="Y950">
            <v>0</v>
          </cell>
          <cell r="Z950">
            <v>0</v>
          </cell>
          <cell r="AA950">
            <v>0</v>
          </cell>
          <cell r="AB950">
            <v>0</v>
          </cell>
          <cell r="AC950">
            <v>0</v>
          </cell>
          <cell r="AD950">
            <v>0</v>
          </cell>
          <cell r="AE950">
            <v>0</v>
          </cell>
          <cell r="AF950">
            <v>0</v>
          </cell>
        </row>
        <row r="951">
          <cell r="A951">
            <v>1900004</v>
          </cell>
          <cell r="B951" t="str">
            <v>1900004</v>
          </cell>
          <cell r="G951" t="str">
            <v>MOTERBIKE</v>
          </cell>
          <cell r="H951">
            <v>0</v>
          </cell>
          <cell r="K951">
            <v>0</v>
          </cell>
          <cell r="L951">
            <v>0</v>
          </cell>
          <cell r="M951">
            <v>0</v>
          </cell>
          <cell r="N951">
            <v>0</v>
          </cell>
          <cell r="O951">
            <v>0</v>
          </cell>
          <cell r="P951">
            <v>0</v>
          </cell>
          <cell r="Q951">
            <v>0</v>
          </cell>
          <cell r="R951">
            <v>0</v>
          </cell>
          <cell r="S951">
            <v>0</v>
          </cell>
          <cell r="T951">
            <v>0</v>
          </cell>
          <cell r="U951">
            <v>0</v>
          </cell>
          <cell r="V951">
            <v>-5814.13</v>
          </cell>
          <cell r="W951">
            <v>0</v>
          </cell>
          <cell r="X951">
            <v>0</v>
          </cell>
          <cell r="Y951">
            <v>0</v>
          </cell>
          <cell r="Z951">
            <v>0</v>
          </cell>
          <cell r="AA951">
            <v>0</v>
          </cell>
          <cell r="AB951">
            <v>42035</v>
          </cell>
          <cell r="AC951">
            <v>0</v>
          </cell>
          <cell r="AD951">
            <v>0</v>
          </cell>
          <cell r="AE951">
            <v>0</v>
          </cell>
          <cell r="AF951">
            <v>0</v>
          </cell>
        </row>
        <row r="952">
          <cell r="A952">
            <v>1900004</v>
          </cell>
          <cell r="H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42035</v>
          </cell>
          <cell r="AC952">
            <v>0</v>
          </cell>
          <cell r="AD952">
            <v>0</v>
          </cell>
          <cell r="AE952">
            <v>0</v>
          </cell>
          <cell r="AF952">
            <v>0</v>
          </cell>
        </row>
        <row r="953">
          <cell r="A953">
            <v>1900005</v>
          </cell>
          <cell r="B953" t="str">
            <v>1900005</v>
          </cell>
          <cell r="G953" t="str">
            <v>MOTERBIKE</v>
          </cell>
          <cell r="H953">
            <v>0</v>
          </cell>
          <cell r="K953">
            <v>0</v>
          </cell>
          <cell r="L953">
            <v>0</v>
          </cell>
          <cell r="M953">
            <v>0</v>
          </cell>
          <cell r="N953">
            <v>0</v>
          </cell>
          <cell r="O953">
            <v>0</v>
          </cell>
          <cell r="P953">
            <v>0</v>
          </cell>
          <cell r="Q953">
            <v>0</v>
          </cell>
          <cell r="R953">
            <v>0</v>
          </cell>
          <cell r="S953">
            <v>0</v>
          </cell>
          <cell r="T953">
            <v>0</v>
          </cell>
          <cell r="U953">
            <v>0</v>
          </cell>
          <cell r="V953">
            <v>-4949.47</v>
          </cell>
          <cell r="W953">
            <v>0</v>
          </cell>
          <cell r="X953">
            <v>0</v>
          </cell>
          <cell r="Y953">
            <v>0</v>
          </cell>
          <cell r="Z953">
            <v>0</v>
          </cell>
          <cell r="AA953">
            <v>0</v>
          </cell>
          <cell r="AB953">
            <v>42035</v>
          </cell>
          <cell r="AC953">
            <v>0</v>
          </cell>
          <cell r="AD953">
            <v>0</v>
          </cell>
          <cell r="AE953">
            <v>0</v>
          </cell>
          <cell r="AF953">
            <v>0</v>
          </cell>
        </row>
        <row r="954">
          <cell r="A954">
            <v>1900005</v>
          </cell>
          <cell r="H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42035</v>
          </cell>
          <cell r="AC954">
            <v>0</v>
          </cell>
          <cell r="AD954">
            <v>0</v>
          </cell>
          <cell r="AE954">
            <v>0</v>
          </cell>
          <cell r="AF954">
            <v>0</v>
          </cell>
        </row>
        <row r="955">
          <cell r="A955">
            <v>2100000</v>
          </cell>
          <cell r="B955" t="str">
            <v>2100000</v>
          </cell>
          <cell r="G955" t="str">
            <v>FAN</v>
          </cell>
          <cell r="H955">
            <v>2280</v>
          </cell>
          <cell r="K955">
            <v>0</v>
          </cell>
          <cell r="L955">
            <v>0</v>
          </cell>
          <cell r="M955">
            <v>-2280</v>
          </cell>
          <cell r="N955">
            <v>0</v>
          </cell>
          <cell r="O955">
            <v>0</v>
          </cell>
          <cell r="P955">
            <v>0</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row>
        <row r="956">
          <cell r="A956">
            <v>2100000</v>
          </cell>
          <cell r="H956">
            <v>2280</v>
          </cell>
          <cell r="K956">
            <v>0</v>
          </cell>
          <cell r="L956">
            <v>0</v>
          </cell>
          <cell r="M956">
            <v>0</v>
          </cell>
          <cell r="N956">
            <v>0</v>
          </cell>
          <cell r="O956">
            <v>0</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0</v>
          </cell>
        </row>
        <row r="957">
          <cell r="A957">
            <v>2100000</v>
          </cell>
          <cell r="H957">
            <v>2280</v>
          </cell>
          <cell r="K957">
            <v>0</v>
          </cell>
          <cell r="L957">
            <v>0</v>
          </cell>
          <cell r="M957">
            <v>-2280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row>
        <row r="958">
          <cell r="A958">
            <v>2100000</v>
          </cell>
          <cell r="H958">
            <v>2280</v>
          </cell>
          <cell r="K958">
            <v>0</v>
          </cell>
          <cell r="L958">
            <v>0</v>
          </cell>
          <cell r="M958">
            <v>0</v>
          </cell>
          <cell r="N958">
            <v>0</v>
          </cell>
          <cell r="O958">
            <v>0</v>
          </cell>
          <cell r="P958">
            <v>0</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cell r="AE958">
            <v>0</v>
          </cell>
          <cell r="AF958">
            <v>0</v>
          </cell>
        </row>
        <row r="959">
          <cell r="A959">
            <v>2100001</v>
          </cell>
          <cell r="B959" t="str">
            <v>2100001</v>
          </cell>
          <cell r="G959" t="str">
            <v>TUBELIGHT</v>
          </cell>
          <cell r="H959">
            <v>450</v>
          </cell>
          <cell r="K959">
            <v>0</v>
          </cell>
          <cell r="L959">
            <v>0</v>
          </cell>
          <cell r="M959">
            <v>-450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row>
        <row r="960">
          <cell r="A960">
            <v>2100001</v>
          </cell>
          <cell r="H960">
            <v>450</v>
          </cell>
          <cell r="K960">
            <v>0</v>
          </cell>
          <cell r="L960">
            <v>0</v>
          </cell>
          <cell r="M960">
            <v>0</v>
          </cell>
          <cell r="N960">
            <v>0</v>
          </cell>
          <cell r="O960">
            <v>0</v>
          </cell>
          <cell r="P960">
            <v>0</v>
          </cell>
          <cell r="Q960">
            <v>0</v>
          </cell>
          <cell r="R960">
            <v>0</v>
          </cell>
          <cell r="S960">
            <v>0</v>
          </cell>
          <cell r="T960">
            <v>0</v>
          </cell>
          <cell r="U960">
            <v>0</v>
          </cell>
          <cell r="V960">
            <v>0</v>
          </cell>
          <cell r="W960">
            <v>0</v>
          </cell>
          <cell r="X960">
            <v>0</v>
          </cell>
          <cell r="Y960">
            <v>0</v>
          </cell>
          <cell r="Z960">
            <v>0</v>
          </cell>
          <cell r="AA960">
            <v>0</v>
          </cell>
          <cell r="AB960">
            <v>0</v>
          </cell>
          <cell r="AC960">
            <v>0</v>
          </cell>
          <cell r="AD960">
            <v>0</v>
          </cell>
          <cell r="AE960">
            <v>0</v>
          </cell>
          <cell r="AF960">
            <v>0</v>
          </cell>
        </row>
        <row r="961">
          <cell r="A961">
            <v>2100001</v>
          </cell>
          <cell r="H961">
            <v>450</v>
          </cell>
          <cell r="K961">
            <v>0</v>
          </cell>
          <cell r="L961">
            <v>0</v>
          </cell>
          <cell r="M961">
            <v>-450</v>
          </cell>
          <cell r="N961">
            <v>0</v>
          </cell>
          <cell r="O961">
            <v>0</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0</v>
          </cell>
        </row>
        <row r="962">
          <cell r="A962">
            <v>2100001</v>
          </cell>
          <cell r="H962">
            <v>450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row>
        <row r="963">
          <cell r="A963">
            <v>2100002</v>
          </cell>
          <cell r="B963" t="str">
            <v>2100002</v>
          </cell>
          <cell r="G963" t="str">
            <v>TABLE</v>
          </cell>
          <cell r="H963">
            <v>1500</v>
          </cell>
          <cell r="K963">
            <v>0</v>
          </cell>
          <cell r="L963">
            <v>0</v>
          </cell>
          <cell r="M963">
            <v>-1500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row>
        <row r="964">
          <cell r="A964">
            <v>2100002</v>
          </cell>
          <cell r="H964">
            <v>1500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row>
        <row r="965">
          <cell r="A965">
            <v>2100002</v>
          </cell>
          <cell r="H965">
            <v>1500</v>
          </cell>
          <cell r="K965">
            <v>0</v>
          </cell>
          <cell r="L965">
            <v>0</v>
          </cell>
          <cell r="M965">
            <v>-1500</v>
          </cell>
          <cell r="N965">
            <v>0</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row>
        <row r="966">
          <cell r="A966">
            <v>2100002</v>
          </cell>
          <cell r="H966">
            <v>1500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row>
        <row r="967">
          <cell r="A967">
            <v>2100003</v>
          </cell>
          <cell r="B967" t="str">
            <v>2100003</v>
          </cell>
          <cell r="G967" t="str">
            <v>CHAIRS</v>
          </cell>
          <cell r="H967">
            <v>900</v>
          </cell>
          <cell r="K967">
            <v>0</v>
          </cell>
          <cell r="L967">
            <v>0</v>
          </cell>
          <cell r="M967">
            <v>-900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row>
        <row r="968">
          <cell r="A968">
            <v>2100003</v>
          </cell>
          <cell r="H968">
            <v>900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row>
        <row r="969">
          <cell r="A969">
            <v>2100003</v>
          </cell>
          <cell r="H969">
            <v>900</v>
          </cell>
          <cell r="K969">
            <v>0</v>
          </cell>
          <cell r="L969">
            <v>0</v>
          </cell>
          <cell r="M969">
            <v>-900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row>
        <row r="970">
          <cell r="A970">
            <v>2100003</v>
          </cell>
          <cell r="H970">
            <v>900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0</v>
          </cell>
        </row>
        <row r="971">
          <cell r="A971">
            <v>2100004</v>
          </cell>
          <cell r="B971" t="str">
            <v>2100004</v>
          </cell>
          <cell r="G971" t="str">
            <v>LOCKS</v>
          </cell>
          <cell r="H971">
            <v>180</v>
          </cell>
          <cell r="K971">
            <v>0</v>
          </cell>
          <cell r="L971">
            <v>0</v>
          </cell>
          <cell r="M971">
            <v>-180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row>
        <row r="972">
          <cell r="A972">
            <v>2100004</v>
          </cell>
          <cell r="H972">
            <v>180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row>
        <row r="973">
          <cell r="A973">
            <v>2100004</v>
          </cell>
          <cell r="H973">
            <v>180</v>
          </cell>
          <cell r="K973">
            <v>0</v>
          </cell>
          <cell r="L973">
            <v>0</v>
          </cell>
          <cell r="M973">
            <v>-180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row>
        <row r="974">
          <cell r="A974">
            <v>2100004</v>
          </cell>
          <cell r="H974">
            <v>180</v>
          </cell>
          <cell r="K974">
            <v>0</v>
          </cell>
          <cell r="L974">
            <v>0</v>
          </cell>
          <cell r="M974">
            <v>0</v>
          </cell>
          <cell r="N974">
            <v>0</v>
          </cell>
          <cell r="O974">
            <v>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0</v>
          </cell>
        </row>
        <row r="975">
          <cell r="A975">
            <v>2100005</v>
          </cell>
          <cell r="B975" t="str">
            <v>2100005</v>
          </cell>
          <cell r="G975" t="str">
            <v>OTHER - MISC.</v>
          </cell>
          <cell r="H975">
            <v>256</v>
          </cell>
          <cell r="K975">
            <v>0</v>
          </cell>
          <cell r="L975">
            <v>0</v>
          </cell>
          <cell r="M975">
            <v>-256</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row>
        <row r="976">
          <cell r="A976">
            <v>2100005</v>
          </cell>
          <cell r="H976">
            <v>256</v>
          </cell>
          <cell r="K976">
            <v>0</v>
          </cell>
          <cell r="L976">
            <v>0</v>
          </cell>
          <cell r="M976">
            <v>0</v>
          </cell>
          <cell r="N976">
            <v>0</v>
          </cell>
          <cell r="O976">
            <v>0</v>
          </cell>
          <cell r="P976">
            <v>0</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cell r="AE976">
            <v>0</v>
          </cell>
          <cell r="AF976">
            <v>0</v>
          </cell>
        </row>
        <row r="977">
          <cell r="A977">
            <v>2100005</v>
          </cell>
          <cell r="H977">
            <v>256</v>
          </cell>
          <cell r="K977">
            <v>0</v>
          </cell>
          <cell r="L977">
            <v>0</v>
          </cell>
          <cell r="M977">
            <v>-256</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row>
        <row r="978">
          <cell r="A978">
            <v>2100005</v>
          </cell>
          <cell r="H978">
            <v>256</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0</v>
          </cell>
        </row>
        <row r="979">
          <cell r="A979">
            <v>2100006</v>
          </cell>
          <cell r="B979" t="str">
            <v>2100006</v>
          </cell>
          <cell r="G979" t="str">
            <v>Crompton Classic Fan</v>
          </cell>
          <cell r="H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row>
        <row r="980">
          <cell r="A980">
            <v>2100007</v>
          </cell>
          <cell r="B980" t="str">
            <v>2100007</v>
          </cell>
          <cell r="G980" t="str">
            <v>Crompton Classic Fan</v>
          </cell>
          <cell r="H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row>
        <row r="981">
          <cell r="A981">
            <v>2100008</v>
          </cell>
          <cell r="B981" t="str">
            <v>2100008</v>
          </cell>
          <cell r="G981" t="str">
            <v>Crompton Classic Fan</v>
          </cell>
          <cell r="H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row>
        <row r="982">
          <cell r="A982">
            <v>2100009</v>
          </cell>
          <cell r="B982" t="str">
            <v>2100009</v>
          </cell>
          <cell r="G982" t="str">
            <v>Crompton Classic Fan</v>
          </cell>
          <cell r="H982">
            <v>0</v>
          </cell>
          <cell r="K982">
            <v>0</v>
          </cell>
          <cell r="L982">
            <v>0</v>
          </cell>
          <cell r="M982">
            <v>0</v>
          </cell>
          <cell r="N982">
            <v>0</v>
          </cell>
          <cell r="O982">
            <v>0</v>
          </cell>
          <cell r="P982">
            <v>0</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row>
        <row r="983">
          <cell r="A983">
            <v>2200000</v>
          </cell>
          <cell r="B983" t="str">
            <v>2200000</v>
          </cell>
          <cell r="G983" t="str">
            <v>CONNECTORS</v>
          </cell>
          <cell r="H983">
            <v>10600</v>
          </cell>
          <cell r="K983">
            <v>0</v>
          </cell>
          <cell r="L983">
            <v>0</v>
          </cell>
          <cell r="M983">
            <v>-10600</v>
          </cell>
          <cell r="N983">
            <v>0</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0</v>
          </cell>
        </row>
        <row r="984">
          <cell r="A984">
            <v>2200000</v>
          </cell>
          <cell r="H984">
            <v>10600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cell r="AF984">
            <v>0</v>
          </cell>
        </row>
        <row r="985">
          <cell r="A985">
            <v>2200000</v>
          </cell>
          <cell r="H985">
            <v>10600</v>
          </cell>
          <cell r="K985">
            <v>0</v>
          </cell>
          <cell r="L985">
            <v>0</v>
          </cell>
          <cell r="M985">
            <v>-10600</v>
          </cell>
          <cell r="N985">
            <v>0</v>
          </cell>
          <cell r="O985">
            <v>0</v>
          </cell>
          <cell r="P985">
            <v>0</v>
          </cell>
          <cell r="Q985">
            <v>0</v>
          </cell>
          <cell r="R985">
            <v>0</v>
          </cell>
          <cell r="S985">
            <v>0</v>
          </cell>
          <cell r="T985">
            <v>0</v>
          </cell>
          <cell r="U985">
            <v>0</v>
          </cell>
          <cell r="V985">
            <v>0</v>
          </cell>
          <cell r="W985">
            <v>0</v>
          </cell>
          <cell r="X985">
            <v>0</v>
          </cell>
          <cell r="Y985">
            <v>0</v>
          </cell>
          <cell r="Z985">
            <v>0</v>
          </cell>
          <cell r="AA985">
            <v>0</v>
          </cell>
          <cell r="AB985">
            <v>0</v>
          </cell>
          <cell r="AC985">
            <v>0</v>
          </cell>
          <cell r="AD985">
            <v>0</v>
          </cell>
          <cell r="AE985">
            <v>0</v>
          </cell>
          <cell r="AF985">
            <v>0</v>
          </cell>
        </row>
        <row r="986">
          <cell r="A986">
            <v>2200000</v>
          </cell>
          <cell r="H986">
            <v>10600</v>
          </cell>
          <cell r="K986">
            <v>0</v>
          </cell>
          <cell r="L986">
            <v>0</v>
          </cell>
          <cell r="M986">
            <v>0</v>
          </cell>
          <cell r="N986">
            <v>0</v>
          </cell>
          <cell r="O986">
            <v>0</v>
          </cell>
          <cell r="P986">
            <v>0</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cell r="AE986">
            <v>0</v>
          </cell>
          <cell r="AF986">
            <v>0</v>
          </cell>
        </row>
        <row r="987">
          <cell r="A987">
            <v>2200001</v>
          </cell>
          <cell r="B987" t="str">
            <v>2200001</v>
          </cell>
          <cell r="G987" t="str">
            <v>CONNECTOR</v>
          </cell>
          <cell r="H987">
            <v>3800</v>
          </cell>
          <cell r="K987">
            <v>0</v>
          </cell>
          <cell r="L987">
            <v>0</v>
          </cell>
          <cell r="M987">
            <v>-3800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row>
        <row r="988">
          <cell r="A988">
            <v>2200001</v>
          </cell>
          <cell r="H988">
            <v>3800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row>
        <row r="989">
          <cell r="A989">
            <v>2200001</v>
          </cell>
          <cell r="H989">
            <v>3800</v>
          </cell>
          <cell r="K989">
            <v>0</v>
          </cell>
          <cell r="L989">
            <v>0</v>
          </cell>
          <cell r="M989">
            <v>-3800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row>
        <row r="990">
          <cell r="A990">
            <v>2200001</v>
          </cell>
          <cell r="H990">
            <v>3800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row>
        <row r="991">
          <cell r="A991">
            <v>2200002</v>
          </cell>
          <cell r="B991" t="str">
            <v>2200002</v>
          </cell>
          <cell r="G991" t="str">
            <v>STP CABLE</v>
          </cell>
          <cell r="H991">
            <v>1800</v>
          </cell>
          <cell r="K991">
            <v>0</v>
          </cell>
          <cell r="L991">
            <v>0</v>
          </cell>
          <cell r="M991">
            <v>-1800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row>
        <row r="992">
          <cell r="A992">
            <v>2200002</v>
          </cell>
          <cell r="H992">
            <v>1800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0</v>
          </cell>
          <cell r="AF992">
            <v>0</v>
          </cell>
        </row>
        <row r="993">
          <cell r="A993">
            <v>2200002</v>
          </cell>
          <cell r="H993">
            <v>1800</v>
          </cell>
          <cell r="K993">
            <v>0</v>
          </cell>
          <cell r="L993">
            <v>0</v>
          </cell>
          <cell r="M993">
            <v>-1800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row>
        <row r="994">
          <cell r="A994">
            <v>2200002</v>
          </cell>
          <cell r="H994">
            <v>1800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row>
        <row r="995">
          <cell r="A995">
            <v>2200003</v>
          </cell>
          <cell r="B995" t="str">
            <v>2200003</v>
          </cell>
          <cell r="G995" t="str">
            <v>8 PORT HUB</v>
          </cell>
          <cell r="H995">
            <v>1950</v>
          </cell>
          <cell r="K995">
            <v>0</v>
          </cell>
          <cell r="L995">
            <v>0</v>
          </cell>
          <cell r="M995">
            <v>-1950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row>
        <row r="996">
          <cell r="A996">
            <v>2200003</v>
          </cell>
          <cell r="H996">
            <v>1950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0</v>
          </cell>
        </row>
        <row r="997">
          <cell r="A997">
            <v>2200003</v>
          </cell>
          <cell r="H997">
            <v>1950</v>
          </cell>
          <cell r="K997">
            <v>0</v>
          </cell>
          <cell r="L997">
            <v>0</v>
          </cell>
          <cell r="M997">
            <v>-1950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row>
        <row r="998">
          <cell r="A998">
            <v>2200003</v>
          </cell>
          <cell r="H998">
            <v>1950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row>
        <row r="999">
          <cell r="A999">
            <v>2200004</v>
          </cell>
          <cell r="B999" t="str">
            <v>2200004</v>
          </cell>
          <cell r="G999" t="str">
            <v>FIBER OPTIC TRANS RECEIVER-3</v>
          </cell>
          <cell r="H999">
            <v>0</v>
          </cell>
          <cell r="K999">
            <v>0</v>
          </cell>
          <cell r="L999">
            <v>0</v>
          </cell>
          <cell r="M999">
            <v>0</v>
          </cell>
          <cell r="N999">
            <v>0</v>
          </cell>
          <cell r="O999">
            <v>0</v>
          </cell>
          <cell r="P999">
            <v>0</v>
          </cell>
          <cell r="Q999">
            <v>0</v>
          </cell>
          <cell r="R999">
            <v>0</v>
          </cell>
          <cell r="S999">
            <v>0</v>
          </cell>
          <cell r="T999">
            <v>0</v>
          </cell>
          <cell r="U999">
            <v>0</v>
          </cell>
          <cell r="V999">
            <v>-3700</v>
          </cell>
          <cell r="W999">
            <v>0</v>
          </cell>
          <cell r="X999">
            <v>0</v>
          </cell>
          <cell r="Y999">
            <v>0</v>
          </cell>
          <cell r="Z999">
            <v>0</v>
          </cell>
          <cell r="AA999">
            <v>0</v>
          </cell>
          <cell r="AB999">
            <v>3700</v>
          </cell>
          <cell r="AC999">
            <v>0</v>
          </cell>
          <cell r="AD999">
            <v>0</v>
          </cell>
          <cell r="AE999">
            <v>0</v>
          </cell>
          <cell r="AF999">
            <v>0</v>
          </cell>
        </row>
        <row r="1000">
          <cell r="A1000">
            <v>2200004</v>
          </cell>
          <cell r="H1000">
            <v>0</v>
          </cell>
          <cell r="K1000">
            <v>0</v>
          </cell>
          <cell r="L1000">
            <v>0</v>
          </cell>
          <cell r="M1000">
            <v>0</v>
          </cell>
          <cell r="N1000">
            <v>0</v>
          </cell>
          <cell r="O1000">
            <v>0</v>
          </cell>
          <cell r="P1000">
            <v>0</v>
          </cell>
          <cell r="Q1000">
            <v>0</v>
          </cell>
          <cell r="R1000">
            <v>0</v>
          </cell>
          <cell r="S1000">
            <v>0</v>
          </cell>
          <cell r="T1000">
            <v>0</v>
          </cell>
          <cell r="U1000">
            <v>0</v>
          </cell>
          <cell r="V1000">
            <v>-3700</v>
          </cell>
          <cell r="W1000">
            <v>0</v>
          </cell>
          <cell r="X1000">
            <v>0</v>
          </cell>
          <cell r="Y1000">
            <v>0</v>
          </cell>
          <cell r="Z1000">
            <v>0</v>
          </cell>
          <cell r="AA1000">
            <v>0</v>
          </cell>
          <cell r="AB1000">
            <v>3700</v>
          </cell>
          <cell r="AC1000">
            <v>0</v>
          </cell>
          <cell r="AD1000">
            <v>0</v>
          </cell>
          <cell r="AE1000">
            <v>0</v>
          </cell>
          <cell r="AF1000">
            <v>0</v>
          </cell>
        </row>
        <row r="1001">
          <cell r="A1001">
            <v>2200004</v>
          </cell>
          <cell r="H1001">
            <v>3700</v>
          </cell>
          <cell r="K1001">
            <v>0</v>
          </cell>
          <cell r="L1001">
            <v>0</v>
          </cell>
          <cell r="M1001">
            <v>-3700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row>
        <row r="1002">
          <cell r="A1002">
            <v>2200004</v>
          </cell>
          <cell r="H1002">
            <v>3700</v>
          </cell>
          <cell r="K1002">
            <v>0</v>
          </cell>
          <cell r="L1002">
            <v>0</v>
          </cell>
          <cell r="M1002">
            <v>-3700</v>
          </cell>
          <cell r="N1002">
            <v>0</v>
          </cell>
          <cell r="O1002">
            <v>0</v>
          </cell>
          <cell r="P1002">
            <v>0</v>
          </cell>
          <cell r="Q1002">
            <v>0</v>
          </cell>
          <cell r="R1002">
            <v>0</v>
          </cell>
          <cell r="S1002">
            <v>0</v>
          </cell>
          <cell r="T1002">
            <v>0</v>
          </cell>
          <cell r="U1002">
            <v>0</v>
          </cell>
          <cell r="V1002">
            <v>0</v>
          </cell>
          <cell r="W1002">
            <v>0</v>
          </cell>
          <cell r="X1002">
            <v>0</v>
          </cell>
          <cell r="Y1002">
            <v>0</v>
          </cell>
          <cell r="Z1002">
            <v>0</v>
          </cell>
          <cell r="AA1002">
            <v>0</v>
          </cell>
          <cell r="AB1002">
            <v>0</v>
          </cell>
          <cell r="AC1002">
            <v>0</v>
          </cell>
          <cell r="AD1002">
            <v>0</v>
          </cell>
          <cell r="AE1002">
            <v>0</v>
          </cell>
          <cell r="AF1002">
            <v>0</v>
          </cell>
        </row>
        <row r="1003">
          <cell r="A1003">
            <v>2200005</v>
          </cell>
          <cell r="B1003" t="str">
            <v>2200005</v>
          </cell>
          <cell r="G1003" t="str">
            <v>FIBER OPTIC TRANS RECEIVER-4</v>
          </cell>
          <cell r="H1003">
            <v>0</v>
          </cell>
          <cell r="K1003">
            <v>0</v>
          </cell>
          <cell r="L1003">
            <v>0</v>
          </cell>
          <cell r="M1003">
            <v>0</v>
          </cell>
          <cell r="N1003">
            <v>0</v>
          </cell>
          <cell r="O1003">
            <v>0</v>
          </cell>
          <cell r="P1003">
            <v>0</v>
          </cell>
          <cell r="Q1003">
            <v>0</v>
          </cell>
          <cell r="R1003">
            <v>0</v>
          </cell>
          <cell r="S1003">
            <v>0</v>
          </cell>
          <cell r="T1003">
            <v>0</v>
          </cell>
          <cell r="U1003">
            <v>0</v>
          </cell>
          <cell r="V1003">
            <v>-3700</v>
          </cell>
          <cell r="W1003">
            <v>0</v>
          </cell>
          <cell r="X1003">
            <v>0</v>
          </cell>
          <cell r="Y1003">
            <v>0</v>
          </cell>
          <cell r="Z1003">
            <v>0</v>
          </cell>
          <cell r="AA1003">
            <v>0</v>
          </cell>
          <cell r="AB1003">
            <v>3700</v>
          </cell>
          <cell r="AC1003">
            <v>0</v>
          </cell>
          <cell r="AD1003">
            <v>0</v>
          </cell>
          <cell r="AE1003">
            <v>0</v>
          </cell>
          <cell r="AF1003">
            <v>0</v>
          </cell>
        </row>
        <row r="1004">
          <cell r="A1004">
            <v>2200005</v>
          </cell>
          <cell r="H1004">
            <v>0</v>
          </cell>
          <cell r="K1004">
            <v>0</v>
          </cell>
          <cell r="L1004">
            <v>0</v>
          </cell>
          <cell r="M1004">
            <v>0</v>
          </cell>
          <cell r="N1004">
            <v>0</v>
          </cell>
          <cell r="O1004">
            <v>0</v>
          </cell>
          <cell r="P1004">
            <v>0</v>
          </cell>
          <cell r="Q1004">
            <v>0</v>
          </cell>
          <cell r="R1004">
            <v>0</v>
          </cell>
          <cell r="S1004">
            <v>0</v>
          </cell>
          <cell r="T1004">
            <v>0</v>
          </cell>
          <cell r="U1004">
            <v>0</v>
          </cell>
          <cell r="V1004">
            <v>-3700</v>
          </cell>
          <cell r="W1004">
            <v>0</v>
          </cell>
          <cell r="X1004">
            <v>0</v>
          </cell>
          <cell r="Y1004">
            <v>0</v>
          </cell>
          <cell r="Z1004">
            <v>0</v>
          </cell>
          <cell r="AA1004">
            <v>0</v>
          </cell>
          <cell r="AB1004">
            <v>3700</v>
          </cell>
          <cell r="AC1004">
            <v>0</v>
          </cell>
          <cell r="AD1004">
            <v>0</v>
          </cell>
          <cell r="AE1004">
            <v>0</v>
          </cell>
          <cell r="AF1004">
            <v>0</v>
          </cell>
        </row>
        <row r="1005">
          <cell r="A1005">
            <v>2200005</v>
          </cell>
          <cell r="H1005">
            <v>3700</v>
          </cell>
          <cell r="K1005">
            <v>0</v>
          </cell>
          <cell r="L1005">
            <v>0</v>
          </cell>
          <cell r="M1005">
            <v>-3700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row>
        <row r="1006">
          <cell r="A1006">
            <v>2200005</v>
          </cell>
          <cell r="H1006">
            <v>3700</v>
          </cell>
          <cell r="K1006">
            <v>0</v>
          </cell>
          <cell r="L1006">
            <v>0</v>
          </cell>
          <cell r="M1006">
            <v>-3700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row>
        <row r="1007">
          <cell r="A1007">
            <v>2200007</v>
          </cell>
          <cell r="B1007" t="str">
            <v>2200007</v>
          </cell>
          <cell r="G1007" t="str">
            <v>RADIO MODEM</v>
          </cell>
          <cell r="H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row>
        <row r="1008">
          <cell r="A1008">
            <v>2300000</v>
          </cell>
          <cell r="B1008" t="str">
            <v>2300000</v>
          </cell>
          <cell r="G1008" t="str">
            <v>SCANNER</v>
          </cell>
          <cell r="H1008">
            <v>3500</v>
          </cell>
          <cell r="K1008">
            <v>0</v>
          </cell>
          <cell r="L1008">
            <v>0</v>
          </cell>
          <cell r="M1008">
            <v>-3500</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row>
        <row r="1009">
          <cell r="A1009">
            <v>2300000</v>
          </cell>
          <cell r="H1009">
            <v>3500</v>
          </cell>
          <cell r="K1009">
            <v>0</v>
          </cell>
          <cell r="L1009">
            <v>0</v>
          </cell>
          <cell r="M1009">
            <v>0</v>
          </cell>
          <cell r="N1009">
            <v>0</v>
          </cell>
          <cell r="O1009">
            <v>0</v>
          </cell>
          <cell r="P1009">
            <v>0</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cell r="AE1009">
            <v>0</v>
          </cell>
          <cell r="AF1009">
            <v>0</v>
          </cell>
        </row>
        <row r="1010">
          <cell r="A1010">
            <v>2300000</v>
          </cell>
          <cell r="H1010">
            <v>3500</v>
          </cell>
          <cell r="K1010">
            <v>0</v>
          </cell>
          <cell r="L1010">
            <v>0</v>
          </cell>
          <cell r="M1010">
            <v>-3500</v>
          </cell>
          <cell r="N1010">
            <v>0</v>
          </cell>
          <cell r="O1010">
            <v>0</v>
          </cell>
          <cell r="P1010">
            <v>0</v>
          </cell>
          <cell r="Q1010">
            <v>0</v>
          </cell>
          <cell r="R1010">
            <v>0</v>
          </cell>
          <cell r="S1010">
            <v>0</v>
          </cell>
          <cell r="T1010">
            <v>0</v>
          </cell>
          <cell r="U1010">
            <v>0</v>
          </cell>
          <cell r="V1010">
            <v>0</v>
          </cell>
          <cell r="W1010">
            <v>0</v>
          </cell>
          <cell r="X1010">
            <v>0</v>
          </cell>
          <cell r="Y1010">
            <v>0</v>
          </cell>
          <cell r="Z1010">
            <v>0</v>
          </cell>
          <cell r="AA1010">
            <v>0</v>
          </cell>
          <cell r="AB1010">
            <v>0</v>
          </cell>
          <cell r="AC1010">
            <v>0</v>
          </cell>
          <cell r="AD1010">
            <v>0</v>
          </cell>
          <cell r="AE1010">
            <v>0</v>
          </cell>
          <cell r="AF1010">
            <v>0</v>
          </cell>
        </row>
        <row r="1011">
          <cell r="A1011">
            <v>2300000</v>
          </cell>
          <cell r="H1011">
            <v>3500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0</v>
          </cell>
        </row>
        <row r="1012">
          <cell r="A1012">
            <v>2300001</v>
          </cell>
          <cell r="B1012" t="str">
            <v>2300001</v>
          </cell>
          <cell r="G1012" t="str">
            <v>CD WRITER</v>
          </cell>
          <cell r="H1012">
            <v>2150</v>
          </cell>
          <cell r="K1012">
            <v>0</v>
          </cell>
          <cell r="L1012">
            <v>0</v>
          </cell>
          <cell r="M1012">
            <v>-2150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0</v>
          </cell>
        </row>
        <row r="1013">
          <cell r="A1013">
            <v>2300001</v>
          </cell>
          <cell r="H1013">
            <v>2150</v>
          </cell>
          <cell r="K1013">
            <v>0</v>
          </cell>
          <cell r="L1013">
            <v>0</v>
          </cell>
          <cell r="M1013">
            <v>0</v>
          </cell>
          <cell r="N1013">
            <v>0</v>
          </cell>
          <cell r="O1013">
            <v>0</v>
          </cell>
          <cell r="P1013">
            <v>0</v>
          </cell>
          <cell r="Q1013">
            <v>0</v>
          </cell>
          <cell r="R1013">
            <v>0</v>
          </cell>
          <cell r="S1013">
            <v>0</v>
          </cell>
          <cell r="T1013">
            <v>0</v>
          </cell>
          <cell r="U1013">
            <v>0</v>
          </cell>
          <cell r="V1013">
            <v>0</v>
          </cell>
          <cell r="W1013">
            <v>0</v>
          </cell>
          <cell r="X1013">
            <v>0</v>
          </cell>
          <cell r="Y1013">
            <v>0</v>
          </cell>
          <cell r="Z1013">
            <v>0</v>
          </cell>
          <cell r="AA1013">
            <v>0</v>
          </cell>
          <cell r="AB1013">
            <v>0</v>
          </cell>
          <cell r="AC1013">
            <v>0</v>
          </cell>
          <cell r="AD1013">
            <v>0</v>
          </cell>
          <cell r="AE1013">
            <v>0</v>
          </cell>
          <cell r="AF1013">
            <v>0</v>
          </cell>
        </row>
        <row r="1014">
          <cell r="A1014">
            <v>2300001</v>
          </cell>
          <cell r="H1014">
            <v>2150</v>
          </cell>
          <cell r="K1014">
            <v>0</v>
          </cell>
          <cell r="L1014">
            <v>0</v>
          </cell>
          <cell r="M1014">
            <v>-2150</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row>
        <row r="1015">
          <cell r="A1015">
            <v>2300001</v>
          </cell>
          <cell r="H1015">
            <v>2150</v>
          </cell>
          <cell r="K1015">
            <v>0</v>
          </cell>
          <cell r="L1015">
            <v>0</v>
          </cell>
          <cell r="M1015">
            <v>0</v>
          </cell>
          <cell r="N1015">
            <v>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0</v>
          </cell>
          <cell r="AF1015">
            <v>0</v>
          </cell>
        </row>
        <row r="1016">
          <cell r="A1016">
            <v>2300002</v>
          </cell>
          <cell r="B1016" t="str">
            <v>2300002</v>
          </cell>
          <cell r="G1016" t="str">
            <v>USB STORAGE DEVISE</v>
          </cell>
          <cell r="H1016">
            <v>4000</v>
          </cell>
          <cell r="K1016">
            <v>0</v>
          </cell>
          <cell r="L1016">
            <v>0</v>
          </cell>
          <cell r="M1016">
            <v>-4000</v>
          </cell>
          <cell r="N1016">
            <v>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0</v>
          </cell>
        </row>
        <row r="1017">
          <cell r="A1017">
            <v>2300002</v>
          </cell>
          <cell r="H1017">
            <v>4000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row>
        <row r="1018">
          <cell r="A1018">
            <v>2300002</v>
          </cell>
          <cell r="H1018">
            <v>4000</v>
          </cell>
          <cell r="K1018">
            <v>0</v>
          </cell>
          <cell r="L1018">
            <v>0</v>
          </cell>
          <cell r="M1018">
            <v>-4000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row>
        <row r="1019">
          <cell r="A1019">
            <v>2300002</v>
          </cell>
          <cell r="H1019">
            <v>4000</v>
          </cell>
          <cell r="K1019">
            <v>0</v>
          </cell>
          <cell r="L1019">
            <v>0</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row>
        <row r="1020">
          <cell r="A1020">
            <v>2300003</v>
          </cell>
          <cell r="B1020" t="str">
            <v>2300003</v>
          </cell>
          <cell r="G1020" t="str">
            <v>SEGATE HDD</v>
          </cell>
          <cell r="H1020">
            <v>3350</v>
          </cell>
          <cell r="K1020">
            <v>0</v>
          </cell>
          <cell r="L1020">
            <v>0</v>
          </cell>
          <cell r="M1020">
            <v>-3350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row>
        <row r="1021">
          <cell r="A1021">
            <v>2300003</v>
          </cell>
          <cell r="H1021">
            <v>3350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row>
        <row r="1022">
          <cell r="A1022">
            <v>2300003</v>
          </cell>
          <cell r="H1022">
            <v>3350</v>
          </cell>
          <cell r="K1022">
            <v>0</v>
          </cell>
          <cell r="L1022">
            <v>0</v>
          </cell>
          <cell r="M1022">
            <v>-3350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row>
        <row r="1023">
          <cell r="A1023">
            <v>2300003</v>
          </cell>
          <cell r="H1023">
            <v>3350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row>
        <row r="1024">
          <cell r="A1024">
            <v>2300004</v>
          </cell>
          <cell r="B1024" t="str">
            <v>2300004</v>
          </cell>
          <cell r="G1024" t="str">
            <v>SD RAM</v>
          </cell>
          <cell r="H1024">
            <v>3900</v>
          </cell>
          <cell r="K1024">
            <v>0</v>
          </cell>
          <cell r="L1024">
            <v>0</v>
          </cell>
          <cell r="M1024">
            <v>-3900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row>
        <row r="1025">
          <cell r="A1025">
            <v>2300004</v>
          </cell>
          <cell r="H1025">
            <v>3900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row>
        <row r="1026">
          <cell r="A1026">
            <v>2300004</v>
          </cell>
          <cell r="H1026">
            <v>3900</v>
          </cell>
          <cell r="K1026">
            <v>0</v>
          </cell>
          <cell r="L1026">
            <v>0</v>
          </cell>
          <cell r="M1026">
            <v>-3900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row>
        <row r="1027">
          <cell r="A1027">
            <v>2300004</v>
          </cell>
          <cell r="H1027">
            <v>3900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row>
        <row r="1028">
          <cell r="A1028">
            <v>2300005</v>
          </cell>
          <cell r="B1028" t="str">
            <v>2300005</v>
          </cell>
          <cell r="G1028" t="str">
            <v>UPS</v>
          </cell>
          <cell r="H1028">
            <v>3150</v>
          </cell>
          <cell r="K1028">
            <v>0</v>
          </cell>
          <cell r="L1028">
            <v>0</v>
          </cell>
          <cell r="M1028">
            <v>-3150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row>
        <row r="1029">
          <cell r="A1029">
            <v>2300005</v>
          </cell>
          <cell r="H1029">
            <v>3150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row>
        <row r="1030">
          <cell r="A1030">
            <v>2300005</v>
          </cell>
          <cell r="H1030">
            <v>3150</v>
          </cell>
          <cell r="K1030">
            <v>0</v>
          </cell>
          <cell r="L1030">
            <v>0</v>
          </cell>
          <cell r="M1030">
            <v>-3150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row>
        <row r="1031">
          <cell r="A1031">
            <v>2300005</v>
          </cell>
          <cell r="H1031">
            <v>3150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row>
        <row r="1032">
          <cell r="A1032">
            <v>2300006</v>
          </cell>
          <cell r="B1032" t="str">
            <v>2300006</v>
          </cell>
          <cell r="G1032" t="str">
            <v>COOMPACT 500 EPCOS</v>
          </cell>
          <cell r="H1032">
            <v>2200</v>
          </cell>
          <cell r="K1032">
            <v>0</v>
          </cell>
          <cell r="L1032">
            <v>0</v>
          </cell>
          <cell r="M1032">
            <v>-2200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row>
        <row r="1033">
          <cell r="A1033">
            <v>2300006</v>
          </cell>
          <cell r="H1033">
            <v>2200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row>
        <row r="1034">
          <cell r="A1034">
            <v>2300006</v>
          </cell>
          <cell r="H1034">
            <v>2200</v>
          </cell>
          <cell r="K1034">
            <v>0</v>
          </cell>
          <cell r="L1034">
            <v>0</v>
          </cell>
          <cell r="M1034">
            <v>-2200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row>
        <row r="1035">
          <cell r="A1035">
            <v>2300006</v>
          </cell>
          <cell r="H1035">
            <v>2200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row>
        <row r="1036">
          <cell r="A1036">
            <v>2300007</v>
          </cell>
          <cell r="B1036" t="str">
            <v>2300007</v>
          </cell>
          <cell r="G1036" t="str">
            <v>SEGATE HDD</v>
          </cell>
          <cell r="H1036">
            <v>3475</v>
          </cell>
          <cell r="K1036">
            <v>0</v>
          </cell>
          <cell r="L1036">
            <v>0</v>
          </cell>
          <cell r="M1036">
            <v>-3475</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row>
        <row r="1037">
          <cell r="A1037">
            <v>2300007</v>
          </cell>
          <cell r="H1037">
            <v>3475</v>
          </cell>
          <cell r="K1037">
            <v>0</v>
          </cell>
          <cell r="L1037">
            <v>0</v>
          </cell>
          <cell r="M1037">
            <v>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0</v>
          </cell>
        </row>
        <row r="1038">
          <cell r="A1038">
            <v>2300007</v>
          </cell>
          <cell r="H1038">
            <v>3475</v>
          </cell>
          <cell r="K1038">
            <v>0</v>
          </cell>
          <cell r="L1038">
            <v>0</v>
          </cell>
          <cell r="M1038">
            <v>-3475</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row>
        <row r="1039">
          <cell r="A1039">
            <v>2300007</v>
          </cell>
          <cell r="H1039">
            <v>3475</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row>
        <row r="1040">
          <cell r="A1040">
            <v>2300008</v>
          </cell>
          <cell r="B1040" t="str">
            <v>2300008</v>
          </cell>
          <cell r="G1040" t="str">
            <v>SD RAM</v>
          </cell>
          <cell r="H1040">
            <v>2900</v>
          </cell>
          <cell r="K1040">
            <v>0</v>
          </cell>
          <cell r="L1040">
            <v>0</v>
          </cell>
          <cell r="M1040">
            <v>-2900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row>
        <row r="1041">
          <cell r="A1041">
            <v>2300008</v>
          </cell>
          <cell r="H1041">
            <v>2900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row>
        <row r="1042">
          <cell r="A1042">
            <v>2300008</v>
          </cell>
          <cell r="H1042">
            <v>2900</v>
          </cell>
          <cell r="K1042">
            <v>0</v>
          </cell>
          <cell r="L1042">
            <v>0</v>
          </cell>
          <cell r="M1042">
            <v>-2900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row>
        <row r="1043">
          <cell r="A1043">
            <v>2300008</v>
          </cell>
          <cell r="H1043">
            <v>2900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row>
        <row r="1044">
          <cell r="A1044">
            <v>2300009</v>
          </cell>
          <cell r="B1044" t="str">
            <v>2300009</v>
          </cell>
          <cell r="G1044" t="str">
            <v>SEGATE HDD</v>
          </cell>
          <cell r="H1044">
            <v>2800</v>
          </cell>
          <cell r="K1044">
            <v>0</v>
          </cell>
          <cell r="L1044">
            <v>0</v>
          </cell>
          <cell r="M1044">
            <v>-2800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row>
        <row r="1045">
          <cell r="A1045">
            <v>2300009</v>
          </cell>
          <cell r="H1045">
            <v>2800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row>
        <row r="1046">
          <cell r="A1046">
            <v>2300009</v>
          </cell>
          <cell r="H1046">
            <v>2800</v>
          </cell>
          <cell r="K1046">
            <v>0</v>
          </cell>
          <cell r="L1046">
            <v>0</v>
          </cell>
          <cell r="M1046">
            <v>-2800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0</v>
          </cell>
        </row>
        <row r="1047">
          <cell r="A1047">
            <v>2300009</v>
          </cell>
          <cell r="H1047">
            <v>2800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row>
        <row r="1048">
          <cell r="A1048">
            <v>2300010</v>
          </cell>
          <cell r="B1048" t="str">
            <v>2300010</v>
          </cell>
          <cell r="G1048" t="str">
            <v>SEGATE HDD</v>
          </cell>
          <cell r="H1048">
            <v>3450</v>
          </cell>
          <cell r="K1048">
            <v>0</v>
          </cell>
          <cell r="L1048">
            <v>0</v>
          </cell>
          <cell r="M1048">
            <v>-3450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row>
        <row r="1049">
          <cell r="A1049">
            <v>2300010</v>
          </cell>
          <cell r="H1049">
            <v>3450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row>
        <row r="1050">
          <cell r="A1050">
            <v>2300010</v>
          </cell>
          <cell r="H1050">
            <v>3450</v>
          </cell>
          <cell r="K1050">
            <v>0</v>
          </cell>
          <cell r="L1050">
            <v>0</v>
          </cell>
          <cell r="M1050">
            <v>-3450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row>
        <row r="1051">
          <cell r="A1051">
            <v>2300010</v>
          </cell>
          <cell r="H1051">
            <v>3450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row>
        <row r="1052">
          <cell r="A1052">
            <v>2300011</v>
          </cell>
          <cell r="B1052" t="str">
            <v>2300011</v>
          </cell>
          <cell r="G1052" t="str">
            <v>WEB CAMERAS</v>
          </cell>
          <cell r="H1052">
            <v>4100</v>
          </cell>
          <cell r="K1052">
            <v>0</v>
          </cell>
          <cell r="L1052">
            <v>0</v>
          </cell>
          <cell r="M1052">
            <v>-4100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row>
        <row r="1053">
          <cell r="A1053">
            <v>2300011</v>
          </cell>
          <cell r="H1053">
            <v>4100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row>
        <row r="1054">
          <cell r="A1054">
            <v>2300011</v>
          </cell>
          <cell r="H1054">
            <v>4100</v>
          </cell>
          <cell r="K1054">
            <v>0</v>
          </cell>
          <cell r="L1054">
            <v>0</v>
          </cell>
          <cell r="M1054">
            <v>-4100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row>
        <row r="1055">
          <cell r="A1055">
            <v>2300011</v>
          </cell>
          <cell r="H1055">
            <v>4100</v>
          </cell>
          <cell r="K1055">
            <v>0</v>
          </cell>
          <cell r="L1055">
            <v>0</v>
          </cell>
          <cell r="M1055">
            <v>0</v>
          </cell>
          <cell r="N1055">
            <v>0</v>
          </cell>
          <cell r="O1055">
            <v>0</v>
          </cell>
          <cell r="P1055">
            <v>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row>
        <row r="1056">
          <cell r="A1056">
            <v>2300012</v>
          </cell>
          <cell r="B1056" t="str">
            <v>2300012</v>
          </cell>
          <cell r="G1056" t="str">
            <v>CD WRITER</v>
          </cell>
          <cell r="H1056">
            <v>3100</v>
          </cell>
          <cell r="K1056">
            <v>0</v>
          </cell>
          <cell r="L1056">
            <v>0</v>
          </cell>
          <cell r="M1056">
            <v>-3100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row>
        <row r="1057">
          <cell r="A1057">
            <v>2300012</v>
          </cell>
          <cell r="H1057">
            <v>3100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row>
        <row r="1058">
          <cell r="A1058">
            <v>2300012</v>
          </cell>
          <cell r="H1058">
            <v>3100</v>
          </cell>
          <cell r="K1058">
            <v>0</v>
          </cell>
          <cell r="L1058">
            <v>0</v>
          </cell>
          <cell r="M1058">
            <v>-3100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row>
        <row r="1059">
          <cell r="A1059">
            <v>2300012</v>
          </cell>
          <cell r="H1059">
            <v>3100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row>
        <row r="1060">
          <cell r="A1060">
            <v>2300013</v>
          </cell>
          <cell r="B1060" t="str">
            <v>2300013</v>
          </cell>
          <cell r="G1060" t="str">
            <v>CD WRITER</v>
          </cell>
          <cell r="H1060">
            <v>4000</v>
          </cell>
          <cell r="K1060">
            <v>0</v>
          </cell>
          <cell r="L1060">
            <v>0</v>
          </cell>
          <cell r="M1060">
            <v>-4000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row>
        <row r="1061">
          <cell r="A1061">
            <v>2300013</v>
          </cell>
          <cell r="H1061">
            <v>4000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row>
        <row r="1062">
          <cell r="A1062">
            <v>2300013</v>
          </cell>
          <cell r="H1062">
            <v>4000</v>
          </cell>
          <cell r="K1062">
            <v>0</v>
          </cell>
          <cell r="L1062">
            <v>0</v>
          </cell>
          <cell r="M1062">
            <v>-4000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row>
        <row r="1063">
          <cell r="A1063">
            <v>2300013</v>
          </cell>
          <cell r="H1063">
            <v>4000</v>
          </cell>
          <cell r="K1063">
            <v>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row>
        <row r="1064">
          <cell r="A1064">
            <v>2300014</v>
          </cell>
          <cell r="B1064" t="str">
            <v>2300014</v>
          </cell>
          <cell r="G1064" t="str">
            <v>HARD DISK</v>
          </cell>
          <cell r="H1064">
            <v>5000</v>
          </cell>
          <cell r="K1064">
            <v>0</v>
          </cell>
          <cell r="L1064">
            <v>0</v>
          </cell>
          <cell r="M1064">
            <v>-5000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row>
        <row r="1065">
          <cell r="A1065">
            <v>2300014</v>
          </cell>
          <cell r="H1065">
            <v>5000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row>
        <row r="1066">
          <cell r="A1066">
            <v>2300014</v>
          </cell>
          <cell r="H1066">
            <v>5000</v>
          </cell>
          <cell r="K1066">
            <v>0</v>
          </cell>
          <cell r="L1066">
            <v>0</v>
          </cell>
          <cell r="M1066">
            <v>-5000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row>
        <row r="1067">
          <cell r="A1067">
            <v>2300014</v>
          </cell>
          <cell r="H1067">
            <v>5000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0</v>
          </cell>
        </row>
        <row r="1068">
          <cell r="A1068">
            <v>2300015</v>
          </cell>
          <cell r="B1068" t="str">
            <v>2300015</v>
          </cell>
          <cell r="G1068" t="str">
            <v>UPS - AHMEDABAD</v>
          </cell>
          <cell r="H1068">
            <v>3150</v>
          </cell>
          <cell r="K1068">
            <v>0</v>
          </cell>
          <cell r="L1068">
            <v>0</v>
          </cell>
          <cell r="M1068">
            <v>-3150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row>
        <row r="1069">
          <cell r="A1069">
            <v>2300015</v>
          </cell>
          <cell r="H1069">
            <v>3150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row>
        <row r="1070">
          <cell r="A1070">
            <v>2300015</v>
          </cell>
          <cell r="H1070">
            <v>3150</v>
          </cell>
          <cell r="K1070">
            <v>0</v>
          </cell>
          <cell r="L1070">
            <v>0</v>
          </cell>
          <cell r="M1070">
            <v>-3150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row>
        <row r="1071">
          <cell r="A1071">
            <v>2300015</v>
          </cell>
          <cell r="H1071">
            <v>3150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row>
        <row r="1072">
          <cell r="A1072">
            <v>2300016</v>
          </cell>
          <cell r="B1072" t="str">
            <v>2300016</v>
          </cell>
          <cell r="G1072" t="str">
            <v>UPS - AHMEDABAD</v>
          </cell>
          <cell r="H1072">
            <v>3150</v>
          </cell>
          <cell r="K1072">
            <v>0</v>
          </cell>
          <cell r="L1072">
            <v>0</v>
          </cell>
          <cell r="M1072">
            <v>-3150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row>
        <row r="1073">
          <cell r="A1073">
            <v>2300016</v>
          </cell>
          <cell r="H1073">
            <v>3150</v>
          </cell>
          <cell r="K1073">
            <v>0</v>
          </cell>
          <cell r="L1073">
            <v>0</v>
          </cell>
          <cell r="M1073">
            <v>0</v>
          </cell>
          <cell r="N1073">
            <v>0</v>
          </cell>
          <cell r="O1073">
            <v>0</v>
          </cell>
          <cell r="P1073">
            <v>0</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0</v>
          </cell>
        </row>
        <row r="1074">
          <cell r="A1074">
            <v>2300016</v>
          </cell>
          <cell r="H1074">
            <v>3150</v>
          </cell>
          <cell r="K1074">
            <v>0</v>
          </cell>
          <cell r="L1074">
            <v>0</v>
          </cell>
          <cell r="M1074">
            <v>-3150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row>
        <row r="1075">
          <cell r="A1075">
            <v>2300016</v>
          </cell>
          <cell r="H1075">
            <v>3150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row>
        <row r="1076">
          <cell r="A1076">
            <v>2300017</v>
          </cell>
          <cell r="B1076" t="str">
            <v>2300017</v>
          </cell>
          <cell r="G1076" t="str">
            <v>UPS - RAJKOT</v>
          </cell>
          <cell r="H1076">
            <v>4500</v>
          </cell>
          <cell r="K1076">
            <v>0</v>
          </cell>
          <cell r="L1076">
            <v>0</v>
          </cell>
          <cell r="M1076">
            <v>-4500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row>
        <row r="1077">
          <cell r="A1077">
            <v>2300017</v>
          </cell>
          <cell r="H1077">
            <v>4500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row>
        <row r="1078">
          <cell r="A1078">
            <v>2300017</v>
          </cell>
          <cell r="H1078">
            <v>4500</v>
          </cell>
          <cell r="K1078">
            <v>0</v>
          </cell>
          <cell r="L1078">
            <v>0</v>
          </cell>
          <cell r="M1078">
            <v>-4500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row>
        <row r="1079">
          <cell r="A1079">
            <v>2300017</v>
          </cell>
          <cell r="H1079">
            <v>4500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row>
        <row r="1080">
          <cell r="A1080">
            <v>2300018</v>
          </cell>
          <cell r="B1080" t="str">
            <v>2300018</v>
          </cell>
          <cell r="G1080" t="str">
            <v>Glow Shine Boards</v>
          </cell>
          <cell r="H1080">
            <v>4050</v>
          </cell>
          <cell r="K1080">
            <v>0</v>
          </cell>
          <cell r="L1080">
            <v>0</v>
          </cell>
          <cell r="M1080">
            <v>-4050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row>
        <row r="1081">
          <cell r="A1081">
            <v>2300018</v>
          </cell>
          <cell r="H1081">
            <v>4050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row>
        <row r="1082">
          <cell r="A1082">
            <v>2300018</v>
          </cell>
          <cell r="H1082">
            <v>4050</v>
          </cell>
          <cell r="K1082">
            <v>0</v>
          </cell>
          <cell r="L1082">
            <v>0</v>
          </cell>
          <cell r="M1082">
            <v>-4050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0</v>
          </cell>
        </row>
        <row r="1083">
          <cell r="A1083">
            <v>2300018</v>
          </cell>
          <cell r="H1083">
            <v>4050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row>
        <row r="1084">
          <cell r="A1084">
            <v>2300019</v>
          </cell>
          <cell r="B1084" t="str">
            <v>2300019</v>
          </cell>
          <cell r="G1084" t="str">
            <v>MEMORY CARD</v>
          </cell>
          <cell r="H1084">
            <v>3800</v>
          </cell>
          <cell r="K1084">
            <v>0</v>
          </cell>
          <cell r="L1084">
            <v>0</v>
          </cell>
          <cell r="M1084">
            <v>-3800</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0</v>
          </cell>
        </row>
        <row r="1085">
          <cell r="A1085">
            <v>2300019</v>
          </cell>
          <cell r="H1085">
            <v>3800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row>
        <row r="1086">
          <cell r="A1086">
            <v>2300019</v>
          </cell>
          <cell r="H1086">
            <v>3800</v>
          </cell>
          <cell r="K1086">
            <v>0</v>
          </cell>
          <cell r="L1086">
            <v>0</v>
          </cell>
          <cell r="M1086">
            <v>-3800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row>
        <row r="1087">
          <cell r="A1087">
            <v>2300019</v>
          </cell>
          <cell r="H1087">
            <v>3800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row>
        <row r="1088">
          <cell r="A1088">
            <v>2300020</v>
          </cell>
          <cell r="B1088" t="str">
            <v>2300020</v>
          </cell>
          <cell r="G1088" t="str">
            <v>SEGATE HDD</v>
          </cell>
          <cell r="H1088">
            <v>2450</v>
          </cell>
          <cell r="K1088">
            <v>0</v>
          </cell>
          <cell r="L1088">
            <v>0</v>
          </cell>
          <cell r="M1088">
            <v>-2450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row>
        <row r="1089">
          <cell r="A1089">
            <v>2300020</v>
          </cell>
          <cell r="H1089">
            <v>2450</v>
          </cell>
          <cell r="K1089">
            <v>0</v>
          </cell>
          <cell r="L1089">
            <v>0</v>
          </cell>
          <cell r="M1089">
            <v>0</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cell r="AE1089">
            <v>0</v>
          </cell>
          <cell r="AF1089">
            <v>0</v>
          </cell>
        </row>
        <row r="1090">
          <cell r="A1090">
            <v>2300020</v>
          </cell>
          <cell r="H1090">
            <v>2450</v>
          </cell>
          <cell r="K1090">
            <v>0</v>
          </cell>
          <cell r="L1090">
            <v>0</v>
          </cell>
          <cell r="M1090">
            <v>-2450</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0</v>
          </cell>
        </row>
        <row r="1091">
          <cell r="A1091">
            <v>2300020</v>
          </cell>
          <cell r="H1091">
            <v>2450</v>
          </cell>
          <cell r="K1091">
            <v>0</v>
          </cell>
          <cell r="L1091">
            <v>0</v>
          </cell>
          <cell r="M1091">
            <v>0</v>
          </cell>
          <cell r="N1091">
            <v>0</v>
          </cell>
          <cell r="O1091">
            <v>0</v>
          </cell>
          <cell r="P1091">
            <v>0</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0</v>
          </cell>
        </row>
        <row r="1092">
          <cell r="A1092">
            <v>2300021</v>
          </cell>
          <cell r="B1092" t="str">
            <v>2300021</v>
          </cell>
          <cell r="G1092" t="str">
            <v>PEN - DRIVE</v>
          </cell>
          <cell r="H1092">
            <v>2900</v>
          </cell>
          <cell r="K1092">
            <v>0</v>
          </cell>
          <cell r="L1092">
            <v>0</v>
          </cell>
          <cell r="M1092">
            <v>-2900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row>
        <row r="1093">
          <cell r="A1093">
            <v>2300021</v>
          </cell>
          <cell r="H1093">
            <v>2900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row>
        <row r="1094">
          <cell r="A1094">
            <v>2300021</v>
          </cell>
          <cell r="H1094">
            <v>2900</v>
          </cell>
          <cell r="K1094">
            <v>0</v>
          </cell>
          <cell r="L1094">
            <v>0</v>
          </cell>
          <cell r="M1094">
            <v>-2900</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cell r="AA1094">
            <v>0</v>
          </cell>
          <cell r="AB1094">
            <v>0</v>
          </cell>
          <cell r="AC1094">
            <v>0</v>
          </cell>
          <cell r="AD1094">
            <v>0</v>
          </cell>
          <cell r="AE1094">
            <v>0</v>
          </cell>
          <cell r="AF1094">
            <v>0</v>
          </cell>
        </row>
        <row r="1095">
          <cell r="A1095">
            <v>2300021</v>
          </cell>
          <cell r="H1095">
            <v>2900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row>
        <row r="1096">
          <cell r="A1096">
            <v>2300022</v>
          </cell>
          <cell r="B1096" t="str">
            <v>2300022</v>
          </cell>
          <cell r="G1096" t="str">
            <v>BLUE TOOTH</v>
          </cell>
          <cell r="H1096">
            <v>1300</v>
          </cell>
          <cell r="K1096">
            <v>0</v>
          </cell>
          <cell r="L1096">
            <v>0</v>
          </cell>
          <cell r="M1096">
            <v>-1300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row>
        <row r="1097">
          <cell r="A1097">
            <v>2300022</v>
          </cell>
          <cell r="H1097">
            <v>1300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0</v>
          </cell>
        </row>
        <row r="1098">
          <cell r="A1098">
            <v>2300022</v>
          </cell>
          <cell r="H1098">
            <v>1300</v>
          </cell>
          <cell r="K1098">
            <v>0</v>
          </cell>
          <cell r="L1098">
            <v>0</v>
          </cell>
          <cell r="M1098">
            <v>-1300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row>
        <row r="1099">
          <cell r="A1099">
            <v>2300022</v>
          </cell>
          <cell r="H1099">
            <v>1300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row>
        <row r="1100">
          <cell r="A1100">
            <v>2300023</v>
          </cell>
          <cell r="B1100" t="str">
            <v>2300023</v>
          </cell>
          <cell r="G1100" t="str">
            <v>PEN - DRIVE</v>
          </cell>
          <cell r="H1100">
            <v>1350</v>
          </cell>
          <cell r="K1100">
            <v>0</v>
          </cell>
          <cell r="L1100">
            <v>0</v>
          </cell>
          <cell r="M1100">
            <v>-1350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row>
        <row r="1101">
          <cell r="A1101">
            <v>2300023</v>
          </cell>
          <cell r="H1101">
            <v>1350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row>
        <row r="1102">
          <cell r="A1102">
            <v>2300023</v>
          </cell>
          <cell r="H1102">
            <v>1350</v>
          </cell>
          <cell r="K1102">
            <v>0</v>
          </cell>
          <cell r="L1102">
            <v>0</v>
          </cell>
          <cell r="M1102">
            <v>-1350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row>
        <row r="1103">
          <cell r="A1103">
            <v>2300023</v>
          </cell>
          <cell r="H1103">
            <v>1350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row>
        <row r="1104">
          <cell r="A1104">
            <v>2300024</v>
          </cell>
          <cell r="B1104" t="str">
            <v>2300024</v>
          </cell>
          <cell r="G1104" t="str">
            <v>MMC CARD</v>
          </cell>
          <cell r="H1104">
            <v>1100</v>
          </cell>
          <cell r="K1104">
            <v>0</v>
          </cell>
          <cell r="L1104">
            <v>0</v>
          </cell>
          <cell r="M1104">
            <v>-1100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row>
        <row r="1105">
          <cell r="A1105">
            <v>2300024</v>
          </cell>
          <cell r="H1105">
            <v>1100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row>
        <row r="1106">
          <cell r="A1106">
            <v>2300024</v>
          </cell>
          <cell r="H1106">
            <v>1100</v>
          </cell>
          <cell r="K1106">
            <v>0</v>
          </cell>
          <cell r="L1106">
            <v>0</v>
          </cell>
          <cell r="M1106">
            <v>-1100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row>
        <row r="1107">
          <cell r="A1107">
            <v>2300024</v>
          </cell>
          <cell r="H1107">
            <v>1100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row>
        <row r="1108">
          <cell r="A1108">
            <v>2300025</v>
          </cell>
          <cell r="B1108" t="str">
            <v>2300025</v>
          </cell>
          <cell r="G1108" t="str">
            <v>TALLY TDS PACKAGE</v>
          </cell>
          <cell r="H1108">
            <v>3960</v>
          </cell>
          <cell r="K1108">
            <v>0</v>
          </cell>
          <cell r="L1108">
            <v>0</v>
          </cell>
          <cell r="M1108">
            <v>-3960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row>
        <row r="1109">
          <cell r="A1109">
            <v>2300025</v>
          </cell>
          <cell r="H1109">
            <v>3960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row>
        <row r="1110">
          <cell r="A1110">
            <v>2300025</v>
          </cell>
          <cell r="H1110">
            <v>3960</v>
          </cell>
          <cell r="K1110">
            <v>0</v>
          </cell>
          <cell r="L1110">
            <v>0</v>
          </cell>
          <cell r="M1110">
            <v>-3960</v>
          </cell>
          <cell r="N1110">
            <v>0</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0</v>
          </cell>
        </row>
        <row r="1111">
          <cell r="A1111">
            <v>2300025</v>
          </cell>
          <cell r="H1111">
            <v>3960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row>
        <row r="1112">
          <cell r="A1112">
            <v>2300026</v>
          </cell>
          <cell r="B1112" t="str">
            <v>2300026</v>
          </cell>
          <cell r="G1112" t="str">
            <v>MODEM</v>
          </cell>
          <cell r="H1112">
            <v>1500</v>
          </cell>
          <cell r="K1112">
            <v>0</v>
          </cell>
          <cell r="L1112">
            <v>0</v>
          </cell>
          <cell r="M1112">
            <v>-1500</v>
          </cell>
          <cell r="N1112">
            <v>0</v>
          </cell>
          <cell r="O1112">
            <v>0</v>
          </cell>
          <cell r="P1112">
            <v>0</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0</v>
          </cell>
        </row>
        <row r="1113">
          <cell r="A1113">
            <v>2300026</v>
          </cell>
          <cell r="H1113">
            <v>1500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row>
        <row r="1114">
          <cell r="A1114">
            <v>2300026</v>
          </cell>
          <cell r="H1114">
            <v>1500</v>
          </cell>
          <cell r="K1114">
            <v>0</v>
          </cell>
          <cell r="L1114">
            <v>0</v>
          </cell>
          <cell r="M1114">
            <v>-1500</v>
          </cell>
          <cell r="N1114">
            <v>0</v>
          </cell>
          <cell r="O1114">
            <v>0</v>
          </cell>
          <cell r="P1114">
            <v>0</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cell r="AE1114">
            <v>0</v>
          </cell>
          <cell r="AF1114">
            <v>0</v>
          </cell>
        </row>
        <row r="1115">
          <cell r="A1115">
            <v>2300026</v>
          </cell>
          <cell r="H1115">
            <v>1500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row>
        <row r="1116">
          <cell r="A1116">
            <v>2300027</v>
          </cell>
          <cell r="B1116" t="str">
            <v>2300027</v>
          </cell>
          <cell r="G1116" t="str">
            <v>WRT54G WIRELESS G-BRODBAND ROUTER</v>
          </cell>
          <cell r="H1116">
            <v>0</v>
          </cell>
          <cell r="K1116">
            <v>0</v>
          </cell>
          <cell r="L1116">
            <v>0</v>
          </cell>
          <cell r="M1116">
            <v>0</v>
          </cell>
          <cell r="N1116">
            <v>0</v>
          </cell>
          <cell r="O1116">
            <v>0</v>
          </cell>
          <cell r="P1116">
            <v>0</v>
          </cell>
          <cell r="Q1116">
            <v>0</v>
          </cell>
          <cell r="R1116">
            <v>0</v>
          </cell>
          <cell r="S1116">
            <v>0</v>
          </cell>
          <cell r="T1116">
            <v>0</v>
          </cell>
          <cell r="U1116">
            <v>0</v>
          </cell>
          <cell r="V1116">
            <v>-3700</v>
          </cell>
          <cell r="W1116">
            <v>0</v>
          </cell>
          <cell r="X1116">
            <v>0</v>
          </cell>
          <cell r="Y1116">
            <v>0</v>
          </cell>
          <cell r="Z1116">
            <v>0</v>
          </cell>
          <cell r="AA1116">
            <v>0</v>
          </cell>
          <cell r="AB1116">
            <v>3700</v>
          </cell>
          <cell r="AC1116">
            <v>0</v>
          </cell>
          <cell r="AD1116">
            <v>0</v>
          </cell>
          <cell r="AE1116">
            <v>0</v>
          </cell>
          <cell r="AF1116">
            <v>0</v>
          </cell>
        </row>
        <row r="1117">
          <cell r="A1117">
            <v>2300027</v>
          </cell>
          <cell r="H1117">
            <v>0</v>
          </cell>
          <cell r="K1117">
            <v>0</v>
          </cell>
          <cell r="L1117">
            <v>0</v>
          </cell>
          <cell r="M1117">
            <v>0</v>
          </cell>
          <cell r="N1117">
            <v>0</v>
          </cell>
          <cell r="O1117">
            <v>0</v>
          </cell>
          <cell r="P1117">
            <v>0</v>
          </cell>
          <cell r="Q1117">
            <v>0</v>
          </cell>
          <cell r="R1117">
            <v>0</v>
          </cell>
          <cell r="S1117">
            <v>0</v>
          </cell>
          <cell r="T1117">
            <v>0</v>
          </cell>
          <cell r="U1117">
            <v>0</v>
          </cell>
          <cell r="V1117">
            <v>-1233.33</v>
          </cell>
          <cell r="W1117">
            <v>0</v>
          </cell>
          <cell r="X1117">
            <v>0</v>
          </cell>
          <cell r="Y1117">
            <v>0</v>
          </cell>
          <cell r="Z1117">
            <v>0</v>
          </cell>
          <cell r="AA1117">
            <v>0</v>
          </cell>
          <cell r="AB1117">
            <v>3700</v>
          </cell>
          <cell r="AC1117">
            <v>0</v>
          </cell>
          <cell r="AD1117">
            <v>0</v>
          </cell>
          <cell r="AE1117">
            <v>0</v>
          </cell>
          <cell r="AF1117">
            <v>0</v>
          </cell>
        </row>
        <row r="1118">
          <cell r="A1118">
            <v>2300027</v>
          </cell>
          <cell r="H1118">
            <v>3700</v>
          </cell>
          <cell r="K1118">
            <v>0</v>
          </cell>
          <cell r="L1118">
            <v>0</v>
          </cell>
          <cell r="M1118">
            <v>-3700</v>
          </cell>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row>
        <row r="1119">
          <cell r="A1119">
            <v>2300027</v>
          </cell>
          <cell r="H1119">
            <v>3700</v>
          </cell>
          <cell r="K1119">
            <v>0</v>
          </cell>
          <cell r="L1119">
            <v>0</v>
          </cell>
          <cell r="M1119">
            <v>-1233.33</v>
          </cell>
          <cell r="N1119">
            <v>0</v>
          </cell>
          <cell r="O1119">
            <v>0</v>
          </cell>
          <cell r="P1119">
            <v>0</v>
          </cell>
          <cell r="Q1119">
            <v>0</v>
          </cell>
          <cell r="R1119">
            <v>0</v>
          </cell>
          <cell r="S1119">
            <v>0</v>
          </cell>
          <cell r="T1119">
            <v>0</v>
          </cell>
          <cell r="U1119">
            <v>0</v>
          </cell>
          <cell r="V1119">
            <v>-2466.67</v>
          </cell>
          <cell r="W1119">
            <v>0</v>
          </cell>
          <cell r="X1119">
            <v>0</v>
          </cell>
          <cell r="Y1119">
            <v>0</v>
          </cell>
          <cell r="Z1119">
            <v>0</v>
          </cell>
          <cell r="AA1119">
            <v>0</v>
          </cell>
          <cell r="AB1119">
            <v>0</v>
          </cell>
          <cell r="AC1119">
            <v>0</v>
          </cell>
          <cell r="AD1119">
            <v>0</v>
          </cell>
          <cell r="AE1119">
            <v>0</v>
          </cell>
          <cell r="AF1119">
            <v>0</v>
          </cell>
        </row>
        <row r="1120">
          <cell r="A1120">
            <v>2300028</v>
          </cell>
          <cell r="B1120" t="str">
            <v>2300028</v>
          </cell>
          <cell r="G1120" t="str">
            <v>WAP54G-EU WIRELESS ACESS POINT</v>
          </cell>
          <cell r="H1120">
            <v>0</v>
          </cell>
          <cell r="K1120">
            <v>0</v>
          </cell>
          <cell r="L1120">
            <v>0</v>
          </cell>
          <cell r="M1120">
            <v>0</v>
          </cell>
          <cell r="N1120">
            <v>0</v>
          </cell>
          <cell r="O1120">
            <v>0</v>
          </cell>
          <cell r="P1120">
            <v>0</v>
          </cell>
          <cell r="Q1120">
            <v>0</v>
          </cell>
          <cell r="R1120">
            <v>0</v>
          </cell>
          <cell r="S1120">
            <v>0</v>
          </cell>
          <cell r="T1120">
            <v>0</v>
          </cell>
          <cell r="U1120">
            <v>0</v>
          </cell>
          <cell r="V1120">
            <v>-4000</v>
          </cell>
          <cell r="W1120">
            <v>0</v>
          </cell>
          <cell r="X1120">
            <v>0</v>
          </cell>
          <cell r="Y1120">
            <v>0</v>
          </cell>
          <cell r="Z1120">
            <v>0</v>
          </cell>
          <cell r="AA1120">
            <v>0</v>
          </cell>
          <cell r="AB1120">
            <v>4000</v>
          </cell>
          <cell r="AC1120">
            <v>0</v>
          </cell>
          <cell r="AD1120">
            <v>0</v>
          </cell>
          <cell r="AE1120">
            <v>0</v>
          </cell>
          <cell r="AF1120">
            <v>0</v>
          </cell>
        </row>
        <row r="1121">
          <cell r="A1121">
            <v>2300028</v>
          </cell>
          <cell r="H1121">
            <v>0</v>
          </cell>
          <cell r="K1121">
            <v>0</v>
          </cell>
          <cell r="L1121">
            <v>0</v>
          </cell>
          <cell r="M1121">
            <v>0</v>
          </cell>
          <cell r="N1121">
            <v>0</v>
          </cell>
          <cell r="O1121">
            <v>0</v>
          </cell>
          <cell r="P1121">
            <v>0</v>
          </cell>
          <cell r="Q1121">
            <v>0</v>
          </cell>
          <cell r="R1121">
            <v>0</v>
          </cell>
          <cell r="S1121">
            <v>0</v>
          </cell>
          <cell r="T1121">
            <v>0</v>
          </cell>
          <cell r="U1121">
            <v>0</v>
          </cell>
          <cell r="V1121">
            <v>-1333.33</v>
          </cell>
          <cell r="W1121">
            <v>0</v>
          </cell>
          <cell r="X1121">
            <v>0</v>
          </cell>
          <cell r="Y1121">
            <v>0</v>
          </cell>
          <cell r="Z1121">
            <v>0</v>
          </cell>
          <cell r="AA1121">
            <v>0</v>
          </cell>
          <cell r="AB1121">
            <v>4000</v>
          </cell>
          <cell r="AC1121">
            <v>0</v>
          </cell>
          <cell r="AD1121">
            <v>0</v>
          </cell>
          <cell r="AE1121">
            <v>0</v>
          </cell>
          <cell r="AF1121">
            <v>0</v>
          </cell>
        </row>
        <row r="1122">
          <cell r="A1122">
            <v>2300028</v>
          </cell>
          <cell r="H1122">
            <v>4000</v>
          </cell>
          <cell r="K1122">
            <v>0</v>
          </cell>
          <cell r="L1122">
            <v>0</v>
          </cell>
          <cell r="M1122">
            <v>-4000</v>
          </cell>
          <cell r="N1122">
            <v>0</v>
          </cell>
          <cell r="O1122">
            <v>0</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0</v>
          </cell>
        </row>
        <row r="1123">
          <cell r="A1123">
            <v>2300028</v>
          </cell>
          <cell r="H1123">
            <v>4000</v>
          </cell>
          <cell r="K1123">
            <v>0</v>
          </cell>
          <cell r="L1123">
            <v>0</v>
          </cell>
          <cell r="M1123">
            <v>-1333.33</v>
          </cell>
          <cell r="N1123">
            <v>0</v>
          </cell>
          <cell r="O1123">
            <v>0</v>
          </cell>
          <cell r="P1123">
            <v>0</v>
          </cell>
          <cell r="Q1123">
            <v>0</v>
          </cell>
          <cell r="R1123">
            <v>0</v>
          </cell>
          <cell r="S1123">
            <v>0</v>
          </cell>
          <cell r="T1123">
            <v>0</v>
          </cell>
          <cell r="U1123">
            <v>0</v>
          </cell>
          <cell r="V1123">
            <v>-2666.67</v>
          </cell>
          <cell r="W1123">
            <v>0</v>
          </cell>
          <cell r="X1123">
            <v>0</v>
          </cell>
          <cell r="Y1123">
            <v>0</v>
          </cell>
          <cell r="Z1123">
            <v>0</v>
          </cell>
          <cell r="AA1123">
            <v>0</v>
          </cell>
          <cell r="AB1123">
            <v>0</v>
          </cell>
          <cell r="AC1123">
            <v>0</v>
          </cell>
          <cell r="AD1123">
            <v>0</v>
          </cell>
          <cell r="AE1123">
            <v>0</v>
          </cell>
          <cell r="AF1123">
            <v>0</v>
          </cell>
        </row>
        <row r="1124">
          <cell r="A1124">
            <v>2300029</v>
          </cell>
          <cell r="B1124" t="str">
            <v>2300029</v>
          </cell>
          <cell r="G1124" t="str">
            <v>Pen Drive Transcend 512 MB</v>
          </cell>
          <cell r="H1124">
            <v>0</v>
          </cell>
          <cell r="K1124">
            <v>0</v>
          </cell>
          <cell r="L1124">
            <v>0</v>
          </cell>
          <cell r="M1124">
            <v>0</v>
          </cell>
          <cell r="N1124">
            <v>0</v>
          </cell>
          <cell r="O1124">
            <v>0</v>
          </cell>
          <cell r="P1124">
            <v>0</v>
          </cell>
          <cell r="Q1124">
            <v>0</v>
          </cell>
          <cell r="R1124">
            <v>0</v>
          </cell>
          <cell r="S1124">
            <v>0</v>
          </cell>
          <cell r="T1124">
            <v>0</v>
          </cell>
          <cell r="U1124">
            <v>0</v>
          </cell>
          <cell r="V1124">
            <v>-2200</v>
          </cell>
          <cell r="W1124">
            <v>0</v>
          </cell>
          <cell r="X1124">
            <v>0</v>
          </cell>
          <cell r="Y1124">
            <v>0</v>
          </cell>
          <cell r="Z1124">
            <v>0</v>
          </cell>
          <cell r="AA1124">
            <v>0</v>
          </cell>
          <cell r="AB1124">
            <v>2200</v>
          </cell>
          <cell r="AC1124">
            <v>0</v>
          </cell>
          <cell r="AD1124">
            <v>0</v>
          </cell>
          <cell r="AE1124">
            <v>0</v>
          </cell>
          <cell r="AF1124">
            <v>0</v>
          </cell>
        </row>
        <row r="1125">
          <cell r="A1125">
            <v>2300029</v>
          </cell>
          <cell r="H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2200</v>
          </cell>
          <cell r="AC1125">
            <v>0</v>
          </cell>
          <cell r="AD1125">
            <v>0</v>
          </cell>
          <cell r="AE1125">
            <v>0</v>
          </cell>
          <cell r="AF1125">
            <v>0</v>
          </cell>
        </row>
        <row r="1126">
          <cell r="A1126">
            <v>2300029</v>
          </cell>
          <cell r="H1126">
            <v>2200</v>
          </cell>
          <cell r="K1126">
            <v>0</v>
          </cell>
          <cell r="L1126">
            <v>0</v>
          </cell>
          <cell r="M1126">
            <v>-2200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row>
        <row r="1127">
          <cell r="A1127">
            <v>2300029</v>
          </cell>
          <cell r="H1127">
            <v>2200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cell r="AE1127">
            <v>0</v>
          </cell>
          <cell r="AF1127">
            <v>0</v>
          </cell>
        </row>
        <row r="1128">
          <cell r="A1128">
            <v>2300030</v>
          </cell>
          <cell r="B1128" t="str">
            <v>2300030</v>
          </cell>
          <cell r="G1128" t="str">
            <v>L.G.D.V.D Writer</v>
          </cell>
          <cell r="H1128">
            <v>0</v>
          </cell>
          <cell r="K1128">
            <v>0</v>
          </cell>
          <cell r="L1128">
            <v>0</v>
          </cell>
          <cell r="M1128">
            <v>0</v>
          </cell>
          <cell r="N1128">
            <v>0</v>
          </cell>
          <cell r="O1128">
            <v>0</v>
          </cell>
          <cell r="P1128">
            <v>0</v>
          </cell>
          <cell r="Q1128">
            <v>0</v>
          </cell>
          <cell r="R1128">
            <v>0</v>
          </cell>
          <cell r="S1128">
            <v>0</v>
          </cell>
          <cell r="T1128">
            <v>0</v>
          </cell>
          <cell r="U1128">
            <v>0</v>
          </cell>
          <cell r="V1128">
            <v>-3300</v>
          </cell>
          <cell r="W1128">
            <v>0</v>
          </cell>
          <cell r="X1128">
            <v>0</v>
          </cell>
          <cell r="Y1128">
            <v>0</v>
          </cell>
          <cell r="Z1128">
            <v>0</v>
          </cell>
          <cell r="AA1128">
            <v>0</v>
          </cell>
          <cell r="AB1128">
            <v>3300</v>
          </cell>
          <cell r="AC1128">
            <v>0</v>
          </cell>
          <cell r="AD1128">
            <v>0</v>
          </cell>
          <cell r="AE1128">
            <v>0</v>
          </cell>
          <cell r="AF1128">
            <v>0</v>
          </cell>
        </row>
        <row r="1129">
          <cell r="A1129">
            <v>2300030</v>
          </cell>
          <cell r="H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3300</v>
          </cell>
          <cell r="AC1129">
            <v>0</v>
          </cell>
          <cell r="AD1129">
            <v>0</v>
          </cell>
          <cell r="AE1129">
            <v>0</v>
          </cell>
          <cell r="AF1129">
            <v>0</v>
          </cell>
        </row>
        <row r="1130">
          <cell r="A1130">
            <v>2300030</v>
          </cell>
          <cell r="H1130">
            <v>3300</v>
          </cell>
          <cell r="K1130">
            <v>0</v>
          </cell>
          <cell r="L1130">
            <v>0</v>
          </cell>
          <cell r="M1130">
            <v>-3300</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cell r="AE1130">
            <v>0</v>
          </cell>
          <cell r="AF1130">
            <v>0</v>
          </cell>
        </row>
        <row r="1131">
          <cell r="A1131">
            <v>2300030</v>
          </cell>
          <cell r="H1131">
            <v>3300</v>
          </cell>
          <cell r="K1131">
            <v>0</v>
          </cell>
          <cell r="L1131">
            <v>0</v>
          </cell>
          <cell r="M1131">
            <v>0</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cell r="AD1131">
            <v>0</v>
          </cell>
          <cell r="AE1131">
            <v>0</v>
          </cell>
          <cell r="AF1131">
            <v>0</v>
          </cell>
        </row>
        <row r="1132">
          <cell r="A1132">
            <v>2300031</v>
          </cell>
          <cell r="B1132" t="str">
            <v>2300031</v>
          </cell>
          <cell r="G1132" t="str">
            <v>810E Chipset Motherboard % Atx cabinet</v>
          </cell>
        </row>
        <row r="1133">
          <cell r="A1133">
            <v>2300032</v>
          </cell>
          <cell r="B1133" t="str">
            <v>2300032</v>
          </cell>
          <cell r="G1133" t="str">
            <v>HDD 80GB Baracuda Seagate</v>
          </cell>
          <cell r="H1133">
            <v>0</v>
          </cell>
          <cell r="K1133">
            <v>0</v>
          </cell>
          <cell r="L1133">
            <v>0</v>
          </cell>
          <cell r="M1133">
            <v>0</v>
          </cell>
          <cell r="N1133">
            <v>0</v>
          </cell>
          <cell r="O1133">
            <v>0</v>
          </cell>
          <cell r="P1133">
            <v>0</v>
          </cell>
          <cell r="Q1133">
            <v>0</v>
          </cell>
          <cell r="R1133">
            <v>0</v>
          </cell>
          <cell r="S1133">
            <v>0</v>
          </cell>
          <cell r="T1133">
            <v>0</v>
          </cell>
          <cell r="U1133">
            <v>0</v>
          </cell>
          <cell r="V1133">
            <v>-2650</v>
          </cell>
          <cell r="W1133">
            <v>0</v>
          </cell>
          <cell r="X1133">
            <v>0</v>
          </cell>
          <cell r="Y1133">
            <v>0</v>
          </cell>
          <cell r="Z1133">
            <v>0</v>
          </cell>
          <cell r="AA1133">
            <v>0</v>
          </cell>
          <cell r="AB1133">
            <v>2650</v>
          </cell>
          <cell r="AC1133">
            <v>0</v>
          </cell>
          <cell r="AD1133">
            <v>0</v>
          </cell>
          <cell r="AE1133">
            <v>0</v>
          </cell>
          <cell r="AF1133">
            <v>0</v>
          </cell>
        </row>
        <row r="1134">
          <cell r="A1134">
            <v>2300032</v>
          </cell>
          <cell r="H1134">
            <v>0</v>
          </cell>
          <cell r="K1134">
            <v>0</v>
          </cell>
          <cell r="L1134">
            <v>0</v>
          </cell>
          <cell r="M1134">
            <v>0</v>
          </cell>
          <cell r="N1134">
            <v>0</v>
          </cell>
          <cell r="O1134">
            <v>0</v>
          </cell>
          <cell r="P1134">
            <v>0</v>
          </cell>
          <cell r="Q1134">
            <v>0</v>
          </cell>
          <cell r="R1134">
            <v>0</v>
          </cell>
          <cell r="S1134">
            <v>0</v>
          </cell>
          <cell r="T1134">
            <v>0</v>
          </cell>
          <cell r="U1134">
            <v>0</v>
          </cell>
          <cell r="V1134">
            <v>-662.5</v>
          </cell>
          <cell r="W1134">
            <v>0</v>
          </cell>
          <cell r="X1134">
            <v>0</v>
          </cell>
          <cell r="Y1134">
            <v>0</v>
          </cell>
          <cell r="Z1134">
            <v>0</v>
          </cell>
          <cell r="AA1134">
            <v>0</v>
          </cell>
          <cell r="AB1134">
            <v>2650</v>
          </cell>
          <cell r="AC1134">
            <v>0</v>
          </cell>
          <cell r="AD1134">
            <v>0</v>
          </cell>
          <cell r="AE1134">
            <v>0</v>
          </cell>
          <cell r="AF1134">
            <v>0</v>
          </cell>
        </row>
        <row r="1135">
          <cell r="A1135">
            <v>2300032</v>
          </cell>
          <cell r="H1135">
            <v>2650</v>
          </cell>
          <cell r="K1135">
            <v>0</v>
          </cell>
          <cell r="L1135">
            <v>0</v>
          </cell>
          <cell r="M1135">
            <v>-2650</v>
          </cell>
          <cell r="N1135">
            <v>0</v>
          </cell>
          <cell r="O1135">
            <v>0</v>
          </cell>
          <cell r="P1135">
            <v>0</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cell r="AD1135">
            <v>0</v>
          </cell>
          <cell r="AE1135">
            <v>0</v>
          </cell>
          <cell r="AF1135">
            <v>0</v>
          </cell>
        </row>
        <row r="1136">
          <cell r="A1136">
            <v>2300032</v>
          </cell>
          <cell r="H1136">
            <v>2650</v>
          </cell>
          <cell r="K1136">
            <v>0</v>
          </cell>
          <cell r="L1136">
            <v>0</v>
          </cell>
          <cell r="M1136">
            <v>-662.5</v>
          </cell>
          <cell r="N1136">
            <v>0</v>
          </cell>
          <cell r="O1136">
            <v>0</v>
          </cell>
          <cell r="P1136">
            <v>0</v>
          </cell>
          <cell r="Q1136">
            <v>0</v>
          </cell>
          <cell r="R1136">
            <v>0</v>
          </cell>
          <cell r="S1136">
            <v>0</v>
          </cell>
          <cell r="T1136">
            <v>0</v>
          </cell>
          <cell r="U1136">
            <v>0</v>
          </cell>
          <cell r="V1136">
            <v>-1987.5</v>
          </cell>
          <cell r="W1136">
            <v>0</v>
          </cell>
          <cell r="X1136">
            <v>0</v>
          </cell>
          <cell r="Y1136">
            <v>0</v>
          </cell>
          <cell r="Z1136">
            <v>0</v>
          </cell>
          <cell r="AA1136">
            <v>0</v>
          </cell>
          <cell r="AB1136">
            <v>0</v>
          </cell>
          <cell r="AC1136">
            <v>0</v>
          </cell>
          <cell r="AD1136">
            <v>0</v>
          </cell>
          <cell r="AE1136">
            <v>0</v>
          </cell>
          <cell r="AF1136">
            <v>0</v>
          </cell>
        </row>
        <row r="1137">
          <cell r="A1137">
            <v>2300033</v>
          </cell>
          <cell r="B1137" t="str">
            <v>2300033</v>
          </cell>
          <cell r="G1137" t="str">
            <v>HDD 80 GB BARACUDA SEAGATE</v>
          </cell>
        </row>
        <row r="1138">
          <cell r="A1138">
            <v>2300034</v>
          </cell>
          <cell r="B1138" t="str">
            <v>2300034</v>
          </cell>
          <cell r="G1138" t="str">
            <v>40GB HDD with Laptop Casing</v>
          </cell>
          <cell r="H1138">
            <v>0</v>
          </cell>
          <cell r="K1138">
            <v>0</v>
          </cell>
          <cell r="L1138">
            <v>0</v>
          </cell>
          <cell r="M1138">
            <v>0</v>
          </cell>
          <cell r="N1138">
            <v>0</v>
          </cell>
          <cell r="O1138">
            <v>0</v>
          </cell>
          <cell r="P1138">
            <v>0</v>
          </cell>
          <cell r="Q1138">
            <v>0</v>
          </cell>
          <cell r="R1138">
            <v>0</v>
          </cell>
          <cell r="S1138">
            <v>0</v>
          </cell>
          <cell r="T1138">
            <v>0</v>
          </cell>
          <cell r="U1138">
            <v>0</v>
          </cell>
          <cell r="V1138">
            <v>-4650</v>
          </cell>
          <cell r="W1138">
            <v>0</v>
          </cell>
          <cell r="X1138">
            <v>0</v>
          </cell>
          <cell r="Y1138">
            <v>0</v>
          </cell>
          <cell r="Z1138">
            <v>0</v>
          </cell>
          <cell r="AA1138">
            <v>0</v>
          </cell>
          <cell r="AB1138">
            <v>4650</v>
          </cell>
          <cell r="AC1138">
            <v>0</v>
          </cell>
          <cell r="AD1138">
            <v>0</v>
          </cell>
          <cell r="AE1138">
            <v>0</v>
          </cell>
          <cell r="AF1138">
            <v>0</v>
          </cell>
        </row>
        <row r="1139">
          <cell r="A1139">
            <v>2300034</v>
          </cell>
          <cell r="H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v>0</v>
          </cell>
          <cell r="Z1139">
            <v>0</v>
          </cell>
          <cell r="AA1139">
            <v>0</v>
          </cell>
          <cell r="AB1139">
            <v>4650</v>
          </cell>
          <cell r="AC1139">
            <v>0</v>
          </cell>
          <cell r="AD1139">
            <v>0</v>
          </cell>
          <cell r="AE1139">
            <v>0</v>
          </cell>
          <cell r="AF1139">
            <v>0</v>
          </cell>
        </row>
        <row r="1140">
          <cell r="A1140">
            <v>2300034</v>
          </cell>
          <cell r="H1140">
            <v>4650</v>
          </cell>
          <cell r="K1140">
            <v>0</v>
          </cell>
          <cell r="L1140">
            <v>0</v>
          </cell>
          <cell r="M1140">
            <v>-4650</v>
          </cell>
          <cell r="N1140">
            <v>0</v>
          </cell>
          <cell r="O1140">
            <v>0</v>
          </cell>
          <cell r="P1140">
            <v>0</v>
          </cell>
          <cell r="Q1140">
            <v>0</v>
          </cell>
          <cell r="R1140">
            <v>0</v>
          </cell>
          <cell r="S1140">
            <v>0</v>
          </cell>
          <cell r="T1140">
            <v>0</v>
          </cell>
          <cell r="U1140">
            <v>0</v>
          </cell>
          <cell r="V1140">
            <v>0</v>
          </cell>
          <cell r="W1140">
            <v>0</v>
          </cell>
          <cell r="X1140">
            <v>0</v>
          </cell>
          <cell r="Y1140">
            <v>0</v>
          </cell>
          <cell r="Z1140">
            <v>0</v>
          </cell>
          <cell r="AA1140">
            <v>0</v>
          </cell>
          <cell r="AB1140">
            <v>0</v>
          </cell>
          <cell r="AC1140">
            <v>0</v>
          </cell>
          <cell r="AD1140">
            <v>0</v>
          </cell>
          <cell r="AE1140">
            <v>0</v>
          </cell>
          <cell r="AF1140">
            <v>0</v>
          </cell>
        </row>
        <row r="1141">
          <cell r="A1141">
            <v>2300034</v>
          </cell>
          <cell r="H1141">
            <v>4650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cell r="AD1141">
            <v>0</v>
          </cell>
          <cell r="AE1141">
            <v>0</v>
          </cell>
          <cell r="AF1141">
            <v>0</v>
          </cell>
        </row>
        <row r="1142">
          <cell r="A1142">
            <v>2300035</v>
          </cell>
          <cell r="B1142" t="str">
            <v>2300035</v>
          </cell>
          <cell r="G1142" t="str">
            <v>HARD DISK DRIVE</v>
          </cell>
          <cell r="H1142">
            <v>0</v>
          </cell>
          <cell r="K1142">
            <v>0</v>
          </cell>
          <cell r="L1142">
            <v>0</v>
          </cell>
          <cell r="M1142">
            <v>0</v>
          </cell>
          <cell r="N1142">
            <v>0</v>
          </cell>
          <cell r="O1142">
            <v>0</v>
          </cell>
          <cell r="P1142">
            <v>0</v>
          </cell>
          <cell r="Q1142">
            <v>0</v>
          </cell>
          <cell r="R1142">
            <v>0</v>
          </cell>
          <cell r="S1142">
            <v>0</v>
          </cell>
          <cell r="T1142">
            <v>0</v>
          </cell>
          <cell r="U1142">
            <v>0</v>
          </cell>
          <cell r="V1142">
            <v>-2150</v>
          </cell>
          <cell r="W1142">
            <v>0</v>
          </cell>
          <cell r="X1142">
            <v>0</v>
          </cell>
          <cell r="Y1142">
            <v>0</v>
          </cell>
          <cell r="Z1142">
            <v>0</v>
          </cell>
          <cell r="AA1142">
            <v>0</v>
          </cell>
          <cell r="AB1142">
            <v>2150</v>
          </cell>
          <cell r="AC1142">
            <v>0</v>
          </cell>
          <cell r="AD1142">
            <v>0</v>
          </cell>
          <cell r="AE1142">
            <v>0</v>
          </cell>
          <cell r="AF1142">
            <v>0</v>
          </cell>
        </row>
        <row r="1143">
          <cell r="A1143">
            <v>2300035</v>
          </cell>
          <cell r="H1143">
            <v>0</v>
          </cell>
          <cell r="K1143">
            <v>0</v>
          </cell>
          <cell r="L1143">
            <v>0</v>
          </cell>
          <cell r="M1143">
            <v>0</v>
          </cell>
          <cell r="N1143">
            <v>0</v>
          </cell>
          <cell r="O1143">
            <v>0</v>
          </cell>
          <cell r="P1143">
            <v>0</v>
          </cell>
          <cell r="Q1143">
            <v>0</v>
          </cell>
          <cell r="R1143">
            <v>0</v>
          </cell>
          <cell r="S1143">
            <v>0</v>
          </cell>
          <cell r="T1143">
            <v>0</v>
          </cell>
          <cell r="U1143">
            <v>0</v>
          </cell>
          <cell r="V1143">
            <v>0</v>
          </cell>
          <cell r="W1143">
            <v>0</v>
          </cell>
          <cell r="X1143">
            <v>0</v>
          </cell>
          <cell r="Y1143">
            <v>0</v>
          </cell>
          <cell r="Z1143">
            <v>0</v>
          </cell>
          <cell r="AA1143">
            <v>0</v>
          </cell>
          <cell r="AB1143">
            <v>2150</v>
          </cell>
          <cell r="AC1143">
            <v>0</v>
          </cell>
          <cell r="AD1143">
            <v>0</v>
          </cell>
          <cell r="AE1143">
            <v>0</v>
          </cell>
          <cell r="AF1143">
            <v>0</v>
          </cell>
        </row>
        <row r="1144">
          <cell r="A1144">
            <v>2300035</v>
          </cell>
          <cell r="H1144">
            <v>2150</v>
          </cell>
          <cell r="K1144">
            <v>0</v>
          </cell>
          <cell r="L1144">
            <v>0</v>
          </cell>
          <cell r="M1144">
            <v>-2150</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cell r="AE1144">
            <v>0</v>
          </cell>
          <cell r="AF1144">
            <v>0</v>
          </cell>
        </row>
        <row r="1145">
          <cell r="A1145">
            <v>2300035</v>
          </cell>
          <cell r="H1145">
            <v>2150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cell r="AE1145">
            <v>0</v>
          </cell>
          <cell r="AF1145">
            <v>0</v>
          </cell>
        </row>
        <row r="1146">
          <cell r="A1146">
            <v>2300036</v>
          </cell>
          <cell r="B1146" t="str">
            <v>2300036</v>
          </cell>
          <cell r="G1146" t="str">
            <v>HARD DISK DRIVE</v>
          </cell>
          <cell r="H1146">
            <v>0</v>
          </cell>
          <cell r="K1146">
            <v>0</v>
          </cell>
          <cell r="L1146">
            <v>0</v>
          </cell>
          <cell r="M1146">
            <v>0</v>
          </cell>
          <cell r="N1146">
            <v>0</v>
          </cell>
          <cell r="O1146">
            <v>0</v>
          </cell>
          <cell r="P1146">
            <v>0</v>
          </cell>
          <cell r="Q1146">
            <v>0</v>
          </cell>
          <cell r="R1146">
            <v>0</v>
          </cell>
          <cell r="S1146">
            <v>0</v>
          </cell>
          <cell r="T1146">
            <v>0</v>
          </cell>
          <cell r="U1146">
            <v>0</v>
          </cell>
          <cell r="V1146">
            <v>-2150</v>
          </cell>
          <cell r="W1146">
            <v>0</v>
          </cell>
          <cell r="X1146">
            <v>0</v>
          </cell>
          <cell r="Y1146">
            <v>0</v>
          </cell>
          <cell r="Z1146">
            <v>0</v>
          </cell>
          <cell r="AA1146">
            <v>0</v>
          </cell>
          <cell r="AB1146">
            <v>2150</v>
          </cell>
          <cell r="AC1146">
            <v>0</v>
          </cell>
          <cell r="AD1146">
            <v>0</v>
          </cell>
          <cell r="AE1146">
            <v>0</v>
          </cell>
          <cell r="AF1146">
            <v>0</v>
          </cell>
        </row>
        <row r="1147">
          <cell r="A1147">
            <v>2300036</v>
          </cell>
          <cell r="H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v>0</v>
          </cell>
          <cell r="Z1147">
            <v>0</v>
          </cell>
          <cell r="AA1147">
            <v>0</v>
          </cell>
          <cell r="AB1147">
            <v>2150</v>
          </cell>
          <cell r="AC1147">
            <v>0</v>
          </cell>
          <cell r="AD1147">
            <v>0</v>
          </cell>
          <cell r="AE1147">
            <v>0</v>
          </cell>
          <cell r="AF1147">
            <v>0</v>
          </cell>
        </row>
        <row r="1148">
          <cell r="A1148">
            <v>2300036</v>
          </cell>
          <cell r="H1148">
            <v>2150</v>
          </cell>
          <cell r="K1148">
            <v>0</v>
          </cell>
          <cell r="L1148">
            <v>0</v>
          </cell>
          <cell r="M1148">
            <v>-2150</v>
          </cell>
          <cell r="N1148">
            <v>0</v>
          </cell>
          <cell r="O1148">
            <v>0</v>
          </cell>
          <cell r="P1148">
            <v>0</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cell r="AD1148">
            <v>0</v>
          </cell>
          <cell r="AE1148">
            <v>0</v>
          </cell>
          <cell r="AF1148">
            <v>0</v>
          </cell>
        </row>
        <row r="1149">
          <cell r="A1149">
            <v>2300036</v>
          </cell>
          <cell r="H1149">
            <v>2150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cell r="AE1149">
            <v>0</v>
          </cell>
          <cell r="AF1149">
            <v>0</v>
          </cell>
        </row>
        <row r="1150">
          <cell r="A1150">
            <v>2300037</v>
          </cell>
          <cell r="B1150" t="str">
            <v>2300037</v>
          </cell>
          <cell r="G1150" t="str">
            <v>HARD DISK DRIVE</v>
          </cell>
          <cell r="H1150">
            <v>0</v>
          </cell>
          <cell r="K1150">
            <v>0</v>
          </cell>
          <cell r="L1150">
            <v>0</v>
          </cell>
          <cell r="M1150">
            <v>0</v>
          </cell>
          <cell r="N1150">
            <v>0</v>
          </cell>
          <cell r="O1150">
            <v>0</v>
          </cell>
          <cell r="P1150">
            <v>0</v>
          </cell>
          <cell r="Q1150">
            <v>0</v>
          </cell>
          <cell r="R1150">
            <v>0</v>
          </cell>
          <cell r="S1150">
            <v>0</v>
          </cell>
          <cell r="T1150">
            <v>0</v>
          </cell>
          <cell r="U1150">
            <v>0</v>
          </cell>
          <cell r="V1150">
            <v>-2150</v>
          </cell>
          <cell r="W1150">
            <v>0</v>
          </cell>
          <cell r="X1150">
            <v>0</v>
          </cell>
          <cell r="Y1150">
            <v>0</v>
          </cell>
          <cell r="Z1150">
            <v>0</v>
          </cell>
          <cell r="AA1150">
            <v>0</v>
          </cell>
          <cell r="AB1150">
            <v>2150</v>
          </cell>
          <cell r="AC1150">
            <v>0</v>
          </cell>
          <cell r="AD1150">
            <v>0</v>
          </cell>
          <cell r="AE1150">
            <v>0</v>
          </cell>
          <cell r="AF1150">
            <v>0</v>
          </cell>
        </row>
        <row r="1151">
          <cell r="A1151">
            <v>2300037</v>
          </cell>
          <cell r="H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cell r="AA1151">
            <v>0</v>
          </cell>
          <cell r="AB1151">
            <v>2150</v>
          </cell>
          <cell r="AC1151">
            <v>0</v>
          </cell>
          <cell r="AD1151">
            <v>0</v>
          </cell>
          <cell r="AE1151">
            <v>0</v>
          </cell>
          <cell r="AF1151">
            <v>0</v>
          </cell>
        </row>
        <row r="1152">
          <cell r="A1152">
            <v>2300037</v>
          </cell>
          <cell r="H1152">
            <v>2150</v>
          </cell>
          <cell r="K1152">
            <v>0</v>
          </cell>
          <cell r="L1152">
            <v>0</v>
          </cell>
          <cell r="M1152">
            <v>-2150</v>
          </cell>
          <cell r="N1152">
            <v>0</v>
          </cell>
          <cell r="O1152">
            <v>0</v>
          </cell>
          <cell r="P1152">
            <v>0</v>
          </cell>
          <cell r="Q1152">
            <v>0</v>
          </cell>
          <cell r="R1152">
            <v>0</v>
          </cell>
          <cell r="S1152">
            <v>0</v>
          </cell>
          <cell r="T1152">
            <v>0</v>
          </cell>
          <cell r="U1152">
            <v>0</v>
          </cell>
          <cell r="V1152">
            <v>0</v>
          </cell>
          <cell r="W1152">
            <v>0</v>
          </cell>
          <cell r="X1152">
            <v>0</v>
          </cell>
          <cell r="Y1152">
            <v>0</v>
          </cell>
          <cell r="Z1152">
            <v>0</v>
          </cell>
          <cell r="AA1152">
            <v>0</v>
          </cell>
          <cell r="AB1152">
            <v>0</v>
          </cell>
          <cell r="AC1152">
            <v>0</v>
          </cell>
          <cell r="AD1152">
            <v>0</v>
          </cell>
          <cell r="AE1152">
            <v>0</v>
          </cell>
          <cell r="AF1152">
            <v>0</v>
          </cell>
        </row>
        <row r="1153">
          <cell r="A1153">
            <v>2300037</v>
          </cell>
          <cell r="H1153">
            <v>2150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row>
        <row r="1154">
          <cell r="A1154">
            <v>2300038</v>
          </cell>
          <cell r="B1154" t="str">
            <v>2300038</v>
          </cell>
          <cell r="G1154" t="str">
            <v>HARD DISK DRIVE</v>
          </cell>
          <cell r="H1154">
            <v>0</v>
          </cell>
          <cell r="K1154">
            <v>0</v>
          </cell>
          <cell r="L1154">
            <v>0</v>
          </cell>
          <cell r="M1154">
            <v>0</v>
          </cell>
          <cell r="N1154">
            <v>0</v>
          </cell>
          <cell r="O1154">
            <v>0</v>
          </cell>
          <cell r="P1154">
            <v>0</v>
          </cell>
          <cell r="Q1154">
            <v>0</v>
          </cell>
          <cell r="R1154">
            <v>0</v>
          </cell>
          <cell r="S1154">
            <v>0</v>
          </cell>
          <cell r="T1154">
            <v>0</v>
          </cell>
          <cell r="U1154">
            <v>0</v>
          </cell>
          <cell r="V1154">
            <v>-2150</v>
          </cell>
          <cell r="W1154">
            <v>0</v>
          </cell>
          <cell r="X1154">
            <v>0</v>
          </cell>
          <cell r="Y1154">
            <v>0</v>
          </cell>
          <cell r="Z1154">
            <v>0</v>
          </cell>
          <cell r="AA1154">
            <v>0</v>
          </cell>
          <cell r="AB1154">
            <v>2150</v>
          </cell>
          <cell r="AC1154">
            <v>0</v>
          </cell>
          <cell r="AD1154">
            <v>0</v>
          </cell>
          <cell r="AE1154">
            <v>0</v>
          </cell>
          <cell r="AF1154">
            <v>0</v>
          </cell>
        </row>
        <row r="1155">
          <cell r="A1155">
            <v>2300038</v>
          </cell>
          <cell r="H1155">
            <v>0</v>
          </cell>
          <cell r="K1155">
            <v>0</v>
          </cell>
          <cell r="L1155">
            <v>0</v>
          </cell>
          <cell r="M1155">
            <v>0</v>
          </cell>
          <cell r="N1155">
            <v>0</v>
          </cell>
          <cell r="O1155">
            <v>0</v>
          </cell>
          <cell r="P1155">
            <v>0</v>
          </cell>
          <cell r="Q1155">
            <v>0</v>
          </cell>
          <cell r="R1155">
            <v>0</v>
          </cell>
          <cell r="S1155">
            <v>0</v>
          </cell>
          <cell r="T1155">
            <v>0</v>
          </cell>
          <cell r="U1155">
            <v>0</v>
          </cell>
          <cell r="V1155">
            <v>0</v>
          </cell>
          <cell r="W1155">
            <v>0</v>
          </cell>
          <cell r="X1155">
            <v>0</v>
          </cell>
          <cell r="Y1155">
            <v>0</v>
          </cell>
          <cell r="Z1155">
            <v>0</v>
          </cell>
          <cell r="AA1155">
            <v>0</v>
          </cell>
          <cell r="AB1155">
            <v>2150</v>
          </cell>
          <cell r="AC1155">
            <v>0</v>
          </cell>
          <cell r="AD1155">
            <v>0</v>
          </cell>
          <cell r="AE1155">
            <v>0</v>
          </cell>
          <cell r="AF1155">
            <v>0</v>
          </cell>
        </row>
        <row r="1156">
          <cell r="A1156">
            <v>2300038</v>
          </cell>
          <cell r="H1156">
            <v>2150</v>
          </cell>
          <cell r="K1156">
            <v>0</v>
          </cell>
          <cell r="L1156">
            <v>0</v>
          </cell>
          <cell r="M1156">
            <v>-2150</v>
          </cell>
          <cell r="N1156">
            <v>0</v>
          </cell>
          <cell r="O1156">
            <v>0</v>
          </cell>
          <cell r="P1156">
            <v>0</v>
          </cell>
          <cell r="Q1156">
            <v>0</v>
          </cell>
          <cell r="R1156">
            <v>0</v>
          </cell>
          <cell r="S1156">
            <v>0</v>
          </cell>
          <cell r="T1156">
            <v>0</v>
          </cell>
          <cell r="U1156">
            <v>0</v>
          </cell>
          <cell r="V1156">
            <v>0</v>
          </cell>
          <cell r="W1156">
            <v>0</v>
          </cell>
          <cell r="X1156">
            <v>0</v>
          </cell>
          <cell r="Y1156">
            <v>0</v>
          </cell>
          <cell r="Z1156">
            <v>0</v>
          </cell>
          <cell r="AA1156">
            <v>0</v>
          </cell>
          <cell r="AB1156">
            <v>0</v>
          </cell>
          <cell r="AC1156">
            <v>0</v>
          </cell>
          <cell r="AD1156">
            <v>0</v>
          </cell>
          <cell r="AE1156">
            <v>0</v>
          </cell>
          <cell r="AF1156">
            <v>0</v>
          </cell>
        </row>
        <row r="1157">
          <cell r="A1157">
            <v>2300038</v>
          </cell>
          <cell r="H1157">
            <v>2150</v>
          </cell>
          <cell r="K1157">
            <v>0</v>
          </cell>
          <cell r="L1157">
            <v>0</v>
          </cell>
          <cell r="M1157">
            <v>0</v>
          </cell>
          <cell r="N1157">
            <v>0</v>
          </cell>
          <cell r="O1157">
            <v>0</v>
          </cell>
          <cell r="P1157">
            <v>0</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cell r="AD1157">
            <v>0</v>
          </cell>
          <cell r="AE1157">
            <v>0</v>
          </cell>
          <cell r="AF1157">
            <v>0</v>
          </cell>
        </row>
        <row r="1158">
          <cell r="A1158">
            <v>2300039</v>
          </cell>
          <cell r="B1158" t="str">
            <v>2300039</v>
          </cell>
          <cell r="G1158" t="str">
            <v>HARD DISK DRIVE</v>
          </cell>
          <cell r="H1158">
            <v>0</v>
          </cell>
          <cell r="K1158">
            <v>0</v>
          </cell>
          <cell r="L1158">
            <v>0</v>
          </cell>
          <cell r="M1158">
            <v>0</v>
          </cell>
          <cell r="N1158">
            <v>0</v>
          </cell>
          <cell r="O1158">
            <v>0</v>
          </cell>
          <cell r="P1158">
            <v>0</v>
          </cell>
          <cell r="Q1158">
            <v>0</v>
          </cell>
          <cell r="R1158">
            <v>0</v>
          </cell>
          <cell r="S1158">
            <v>0</v>
          </cell>
          <cell r="T1158">
            <v>0</v>
          </cell>
          <cell r="U1158">
            <v>0</v>
          </cell>
          <cell r="V1158">
            <v>-2150</v>
          </cell>
          <cell r="W1158">
            <v>0</v>
          </cell>
          <cell r="X1158">
            <v>0</v>
          </cell>
          <cell r="Y1158">
            <v>0</v>
          </cell>
          <cell r="Z1158">
            <v>0</v>
          </cell>
          <cell r="AA1158">
            <v>0</v>
          </cell>
          <cell r="AB1158">
            <v>2150</v>
          </cell>
          <cell r="AC1158">
            <v>0</v>
          </cell>
          <cell r="AD1158">
            <v>0</v>
          </cell>
          <cell r="AE1158">
            <v>0</v>
          </cell>
          <cell r="AF1158">
            <v>0</v>
          </cell>
        </row>
        <row r="1159">
          <cell r="A1159">
            <v>2300039</v>
          </cell>
          <cell r="H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2150</v>
          </cell>
          <cell r="AC1159">
            <v>0</v>
          </cell>
          <cell r="AD1159">
            <v>0</v>
          </cell>
          <cell r="AE1159">
            <v>0</v>
          </cell>
          <cell r="AF1159">
            <v>0</v>
          </cell>
        </row>
        <row r="1160">
          <cell r="A1160">
            <v>2300039</v>
          </cell>
          <cell r="H1160">
            <v>2150</v>
          </cell>
          <cell r="K1160">
            <v>0</v>
          </cell>
          <cell r="L1160">
            <v>0</v>
          </cell>
          <cell r="M1160">
            <v>-2150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row>
        <row r="1161">
          <cell r="A1161">
            <v>2300039</v>
          </cell>
          <cell r="H1161">
            <v>2150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cell r="AE1161">
            <v>0</v>
          </cell>
          <cell r="AF1161">
            <v>0</v>
          </cell>
        </row>
        <row r="1162">
          <cell r="A1162">
            <v>2300040</v>
          </cell>
          <cell r="B1162" t="str">
            <v>2300040</v>
          </cell>
          <cell r="G1162" t="str">
            <v>HARD DISK DRIVE</v>
          </cell>
          <cell r="H1162">
            <v>0</v>
          </cell>
          <cell r="K1162">
            <v>0</v>
          </cell>
          <cell r="L1162">
            <v>0</v>
          </cell>
          <cell r="M1162">
            <v>0</v>
          </cell>
          <cell r="N1162">
            <v>0</v>
          </cell>
          <cell r="O1162">
            <v>0</v>
          </cell>
          <cell r="P1162">
            <v>0</v>
          </cell>
          <cell r="Q1162">
            <v>0</v>
          </cell>
          <cell r="R1162">
            <v>0</v>
          </cell>
          <cell r="S1162">
            <v>0</v>
          </cell>
          <cell r="T1162">
            <v>0</v>
          </cell>
          <cell r="U1162">
            <v>0</v>
          </cell>
          <cell r="V1162">
            <v>-2150</v>
          </cell>
          <cell r="W1162">
            <v>0</v>
          </cell>
          <cell r="X1162">
            <v>0</v>
          </cell>
          <cell r="Y1162">
            <v>0</v>
          </cell>
          <cell r="Z1162">
            <v>0</v>
          </cell>
          <cell r="AA1162">
            <v>0</v>
          </cell>
          <cell r="AB1162">
            <v>2150</v>
          </cell>
          <cell r="AC1162">
            <v>0</v>
          </cell>
          <cell r="AD1162">
            <v>0</v>
          </cell>
          <cell r="AE1162">
            <v>0</v>
          </cell>
          <cell r="AF1162">
            <v>0</v>
          </cell>
        </row>
        <row r="1163">
          <cell r="A1163">
            <v>2300040</v>
          </cell>
          <cell r="H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cell r="AB1163">
            <v>2150</v>
          </cell>
          <cell r="AC1163">
            <v>0</v>
          </cell>
          <cell r="AD1163">
            <v>0</v>
          </cell>
          <cell r="AE1163">
            <v>0</v>
          </cell>
          <cell r="AF1163">
            <v>0</v>
          </cell>
        </row>
        <row r="1164">
          <cell r="A1164">
            <v>2300040</v>
          </cell>
          <cell r="H1164">
            <v>2150</v>
          </cell>
          <cell r="K1164">
            <v>0</v>
          </cell>
          <cell r="L1164">
            <v>0</v>
          </cell>
          <cell r="M1164">
            <v>-2150</v>
          </cell>
          <cell r="N1164">
            <v>0</v>
          </cell>
          <cell r="O1164">
            <v>0</v>
          </cell>
          <cell r="P1164">
            <v>0</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cell r="AD1164">
            <v>0</v>
          </cell>
          <cell r="AE1164">
            <v>0</v>
          </cell>
          <cell r="AF1164">
            <v>0</v>
          </cell>
        </row>
        <row r="1165">
          <cell r="A1165">
            <v>2300040</v>
          </cell>
          <cell r="H1165">
            <v>2150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row>
        <row r="1166">
          <cell r="A1166">
            <v>2300041</v>
          </cell>
          <cell r="B1166" t="str">
            <v>2300041</v>
          </cell>
          <cell r="G1166" t="str">
            <v>HARD DISK DRIVE</v>
          </cell>
          <cell r="H1166">
            <v>0</v>
          </cell>
          <cell r="K1166">
            <v>0</v>
          </cell>
          <cell r="L1166">
            <v>0</v>
          </cell>
          <cell r="M1166">
            <v>0</v>
          </cell>
          <cell r="N1166">
            <v>0</v>
          </cell>
          <cell r="O1166">
            <v>0</v>
          </cell>
          <cell r="P1166">
            <v>0</v>
          </cell>
          <cell r="Q1166">
            <v>0</v>
          </cell>
          <cell r="R1166">
            <v>0</v>
          </cell>
          <cell r="S1166">
            <v>0</v>
          </cell>
          <cell r="T1166">
            <v>0</v>
          </cell>
          <cell r="U1166">
            <v>0</v>
          </cell>
          <cell r="V1166">
            <v>-2350</v>
          </cell>
          <cell r="W1166">
            <v>0</v>
          </cell>
          <cell r="X1166">
            <v>0</v>
          </cell>
          <cell r="Y1166">
            <v>0</v>
          </cell>
          <cell r="Z1166">
            <v>0</v>
          </cell>
          <cell r="AA1166">
            <v>0</v>
          </cell>
          <cell r="AB1166">
            <v>2350</v>
          </cell>
          <cell r="AC1166">
            <v>0</v>
          </cell>
          <cell r="AD1166">
            <v>0</v>
          </cell>
          <cell r="AE1166">
            <v>0</v>
          </cell>
          <cell r="AF1166">
            <v>0</v>
          </cell>
        </row>
        <row r="1167">
          <cell r="A1167">
            <v>2300041</v>
          </cell>
          <cell r="H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2350</v>
          </cell>
          <cell r="AC1167">
            <v>0</v>
          </cell>
          <cell r="AD1167">
            <v>0</v>
          </cell>
          <cell r="AE1167">
            <v>0</v>
          </cell>
          <cell r="AF1167">
            <v>0</v>
          </cell>
        </row>
        <row r="1168">
          <cell r="A1168">
            <v>2300041</v>
          </cell>
          <cell r="H1168">
            <v>2350</v>
          </cell>
          <cell r="K1168">
            <v>0</v>
          </cell>
          <cell r="L1168">
            <v>0</v>
          </cell>
          <cell r="M1168">
            <v>-2350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cell r="AE1168">
            <v>0</v>
          </cell>
          <cell r="AF1168">
            <v>0</v>
          </cell>
        </row>
        <row r="1169">
          <cell r="A1169">
            <v>2300041</v>
          </cell>
          <cell r="H1169">
            <v>2350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cell r="AD1169">
            <v>0</v>
          </cell>
          <cell r="AE1169">
            <v>0</v>
          </cell>
          <cell r="AF1169">
            <v>0</v>
          </cell>
        </row>
        <row r="1170">
          <cell r="A1170">
            <v>2300042</v>
          </cell>
          <cell r="B1170" t="str">
            <v>2300042</v>
          </cell>
          <cell r="G1170" t="str">
            <v>HARD DISK DRIVE</v>
          </cell>
          <cell r="H1170">
            <v>0</v>
          </cell>
          <cell r="K1170">
            <v>0</v>
          </cell>
          <cell r="L1170">
            <v>0</v>
          </cell>
          <cell r="M1170">
            <v>0</v>
          </cell>
          <cell r="N1170">
            <v>0</v>
          </cell>
          <cell r="O1170">
            <v>0</v>
          </cell>
          <cell r="P1170">
            <v>0</v>
          </cell>
          <cell r="Q1170">
            <v>0</v>
          </cell>
          <cell r="R1170">
            <v>0</v>
          </cell>
          <cell r="S1170">
            <v>0</v>
          </cell>
          <cell r="T1170">
            <v>0</v>
          </cell>
          <cell r="U1170">
            <v>0</v>
          </cell>
          <cell r="V1170">
            <v>-2350</v>
          </cell>
          <cell r="W1170">
            <v>0</v>
          </cell>
          <cell r="X1170">
            <v>0</v>
          </cell>
          <cell r="Y1170">
            <v>0</v>
          </cell>
          <cell r="Z1170">
            <v>0</v>
          </cell>
          <cell r="AA1170">
            <v>0</v>
          </cell>
          <cell r="AB1170">
            <v>2350</v>
          </cell>
          <cell r="AC1170">
            <v>0</v>
          </cell>
          <cell r="AD1170">
            <v>0</v>
          </cell>
          <cell r="AE1170">
            <v>0</v>
          </cell>
          <cell r="AF1170">
            <v>0</v>
          </cell>
        </row>
        <row r="1171">
          <cell r="A1171">
            <v>2300042</v>
          </cell>
          <cell r="H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2350</v>
          </cell>
          <cell r="AC1171">
            <v>0</v>
          </cell>
          <cell r="AD1171">
            <v>0</v>
          </cell>
          <cell r="AE1171">
            <v>0</v>
          </cell>
          <cell r="AF1171">
            <v>0</v>
          </cell>
        </row>
        <row r="1172">
          <cell r="A1172">
            <v>2300042</v>
          </cell>
          <cell r="H1172">
            <v>2350</v>
          </cell>
          <cell r="K1172">
            <v>0</v>
          </cell>
          <cell r="L1172">
            <v>0</v>
          </cell>
          <cell r="M1172">
            <v>-2350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cell r="AD1172">
            <v>0</v>
          </cell>
          <cell r="AE1172">
            <v>0</v>
          </cell>
          <cell r="AF1172">
            <v>0</v>
          </cell>
        </row>
        <row r="1173">
          <cell r="A1173">
            <v>2300042</v>
          </cell>
          <cell r="H1173">
            <v>2350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row>
        <row r="1174">
          <cell r="A1174">
            <v>2300043</v>
          </cell>
          <cell r="B1174" t="str">
            <v>2300043</v>
          </cell>
          <cell r="G1174" t="str">
            <v>HARD DISK DRIVE</v>
          </cell>
          <cell r="H1174">
            <v>0</v>
          </cell>
          <cell r="K1174">
            <v>0</v>
          </cell>
          <cell r="L1174">
            <v>0</v>
          </cell>
          <cell r="M1174">
            <v>0</v>
          </cell>
          <cell r="N1174">
            <v>0</v>
          </cell>
          <cell r="O1174">
            <v>0</v>
          </cell>
          <cell r="P1174">
            <v>0</v>
          </cell>
          <cell r="Q1174">
            <v>0</v>
          </cell>
          <cell r="R1174">
            <v>0</v>
          </cell>
          <cell r="S1174">
            <v>0</v>
          </cell>
          <cell r="T1174">
            <v>0</v>
          </cell>
          <cell r="U1174">
            <v>0</v>
          </cell>
          <cell r="V1174">
            <v>-2600</v>
          </cell>
          <cell r="W1174">
            <v>0</v>
          </cell>
          <cell r="X1174">
            <v>0</v>
          </cell>
          <cell r="Y1174">
            <v>0</v>
          </cell>
          <cell r="Z1174">
            <v>0</v>
          </cell>
          <cell r="AA1174">
            <v>0</v>
          </cell>
          <cell r="AB1174">
            <v>2600</v>
          </cell>
          <cell r="AC1174">
            <v>0</v>
          </cell>
          <cell r="AD1174">
            <v>0</v>
          </cell>
          <cell r="AE1174">
            <v>0</v>
          </cell>
          <cell r="AF1174">
            <v>0</v>
          </cell>
        </row>
        <row r="1175">
          <cell r="A1175">
            <v>2300043</v>
          </cell>
          <cell r="H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2600</v>
          </cell>
          <cell r="AC1175">
            <v>0</v>
          </cell>
          <cell r="AD1175">
            <v>0</v>
          </cell>
          <cell r="AE1175">
            <v>0</v>
          </cell>
          <cell r="AF1175">
            <v>0</v>
          </cell>
        </row>
        <row r="1176">
          <cell r="A1176">
            <v>2300043</v>
          </cell>
          <cell r="H1176">
            <v>2600</v>
          </cell>
          <cell r="K1176">
            <v>0</v>
          </cell>
          <cell r="L1176">
            <v>0</v>
          </cell>
          <cell r="M1176">
            <v>-2600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cell r="AE1176">
            <v>0</v>
          </cell>
          <cell r="AF1176">
            <v>0</v>
          </cell>
        </row>
        <row r="1177">
          <cell r="A1177">
            <v>2300043</v>
          </cell>
          <cell r="H1177">
            <v>2600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row>
        <row r="1178">
          <cell r="A1178">
            <v>2300044</v>
          </cell>
          <cell r="B1178" t="str">
            <v>2300044</v>
          </cell>
          <cell r="G1178" t="str">
            <v>HARD DISK DRIVE</v>
          </cell>
          <cell r="H1178">
            <v>0</v>
          </cell>
          <cell r="K1178">
            <v>0</v>
          </cell>
          <cell r="L1178">
            <v>0</v>
          </cell>
          <cell r="M1178">
            <v>0</v>
          </cell>
          <cell r="N1178">
            <v>0</v>
          </cell>
          <cell r="O1178">
            <v>0</v>
          </cell>
          <cell r="P1178">
            <v>0</v>
          </cell>
          <cell r="Q1178">
            <v>0</v>
          </cell>
          <cell r="R1178">
            <v>0</v>
          </cell>
          <cell r="S1178">
            <v>0</v>
          </cell>
          <cell r="T1178">
            <v>0</v>
          </cell>
          <cell r="U1178">
            <v>0</v>
          </cell>
          <cell r="V1178">
            <v>-2600</v>
          </cell>
          <cell r="W1178">
            <v>0</v>
          </cell>
          <cell r="X1178">
            <v>0</v>
          </cell>
          <cell r="Y1178">
            <v>0</v>
          </cell>
          <cell r="Z1178">
            <v>0</v>
          </cell>
          <cell r="AA1178">
            <v>0</v>
          </cell>
          <cell r="AB1178">
            <v>2600</v>
          </cell>
          <cell r="AC1178">
            <v>0</v>
          </cell>
          <cell r="AD1178">
            <v>0</v>
          </cell>
          <cell r="AE1178">
            <v>0</v>
          </cell>
          <cell r="AF1178">
            <v>0</v>
          </cell>
        </row>
        <row r="1179">
          <cell r="A1179">
            <v>2300044</v>
          </cell>
          <cell r="H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2600</v>
          </cell>
          <cell r="AC1179">
            <v>0</v>
          </cell>
          <cell r="AD1179">
            <v>0</v>
          </cell>
          <cell r="AE1179">
            <v>0</v>
          </cell>
          <cell r="AF1179">
            <v>0</v>
          </cell>
        </row>
        <row r="1180">
          <cell r="A1180">
            <v>2300044</v>
          </cell>
          <cell r="H1180">
            <v>2600</v>
          </cell>
          <cell r="K1180">
            <v>0</v>
          </cell>
          <cell r="L1180">
            <v>0</v>
          </cell>
          <cell r="M1180">
            <v>-2600</v>
          </cell>
          <cell r="N1180">
            <v>0</v>
          </cell>
          <cell r="O1180">
            <v>0</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cell r="AE1180">
            <v>0</v>
          </cell>
          <cell r="AF1180">
            <v>0</v>
          </cell>
        </row>
        <row r="1181">
          <cell r="A1181">
            <v>2300044</v>
          </cell>
          <cell r="H1181">
            <v>2600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cell r="AE1181">
            <v>0</v>
          </cell>
          <cell r="AF1181">
            <v>0</v>
          </cell>
        </row>
        <row r="1182">
          <cell r="A1182">
            <v>2300045</v>
          </cell>
          <cell r="B1182" t="str">
            <v>2300045</v>
          </cell>
          <cell r="G1182" t="str">
            <v>USB WI-FI</v>
          </cell>
          <cell r="H1182">
            <v>0</v>
          </cell>
          <cell r="K1182">
            <v>0</v>
          </cell>
          <cell r="L1182">
            <v>0</v>
          </cell>
          <cell r="M1182">
            <v>0</v>
          </cell>
          <cell r="N1182">
            <v>0</v>
          </cell>
          <cell r="O1182">
            <v>0</v>
          </cell>
          <cell r="P1182">
            <v>0</v>
          </cell>
          <cell r="Q1182">
            <v>0</v>
          </cell>
          <cell r="R1182">
            <v>0</v>
          </cell>
          <cell r="S1182">
            <v>0</v>
          </cell>
          <cell r="T1182">
            <v>0</v>
          </cell>
          <cell r="U1182">
            <v>0</v>
          </cell>
          <cell r="V1182">
            <v>-2548</v>
          </cell>
          <cell r="W1182">
            <v>0</v>
          </cell>
          <cell r="X1182">
            <v>0</v>
          </cell>
          <cell r="Y1182">
            <v>0</v>
          </cell>
          <cell r="Z1182">
            <v>0</v>
          </cell>
          <cell r="AA1182">
            <v>0</v>
          </cell>
          <cell r="AB1182">
            <v>2548</v>
          </cell>
          <cell r="AC1182">
            <v>0</v>
          </cell>
          <cell r="AD1182">
            <v>0</v>
          </cell>
          <cell r="AE1182">
            <v>0</v>
          </cell>
          <cell r="AF1182">
            <v>0</v>
          </cell>
        </row>
        <row r="1183">
          <cell r="A1183">
            <v>2300045</v>
          </cell>
          <cell r="H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2548</v>
          </cell>
          <cell r="AC1183">
            <v>0</v>
          </cell>
          <cell r="AD1183">
            <v>0</v>
          </cell>
          <cell r="AE1183">
            <v>0</v>
          </cell>
          <cell r="AF1183">
            <v>0</v>
          </cell>
        </row>
        <row r="1184">
          <cell r="A1184">
            <v>2300046</v>
          </cell>
          <cell r="B1184" t="str">
            <v>2300046</v>
          </cell>
          <cell r="G1184" t="str">
            <v>PEN - DRIVE(t.sonic 610)</v>
          </cell>
          <cell r="H1184">
            <v>0</v>
          </cell>
          <cell r="K1184">
            <v>0</v>
          </cell>
          <cell r="L1184">
            <v>0</v>
          </cell>
          <cell r="M1184">
            <v>0</v>
          </cell>
          <cell r="N1184">
            <v>0</v>
          </cell>
          <cell r="O1184">
            <v>0</v>
          </cell>
          <cell r="P1184">
            <v>0</v>
          </cell>
          <cell r="Q1184">
            <v>0</v>
          </cell>
          <cell r="R1184">
            <v>0</v>
          </cell>
          <cell r="S1184">
            <v>0</v>
          </cell>
          <cell r="T1184">
            <v>0</v>
          </cell>
          <cell r="U1184">
            <v>0</v>
          </cell>
          <cell r="V1184">
            <v>-3509</v>
          </cell>
          <cell r="W1184">
            <v>0</v>
          </cell>
          <cell r="X1184">
            <v>0</v>
          </cell>
          <cell r="Y1184">
            <v>0</v>
          </cell>
          <cell r="Z1184">
            <v>0</v>
          </cell>
          <cell r="AA1184">
            <v>0</v>
          </cell>
          <cell r="AB1184">
            <v>3509</v>
          </cell>
          <cell r="AC1184">
            <v>0</v>
          </cell>
          <cell r="AD1184">
            <v>0</v>
          </cell>
          <cell r="AE1184">
            <v>0</v>
          </cell>
          <cell r="AF1184">
            <v>0</v>
          </cell>
        </row>
        <row r="1185">
          <cell r="A1185">
            <v>2300046</v>
          </cell>
          <cell r="H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v>0</v>
          </cell>
          <cell r="Z1185">
            <v>0</v>
          </cell>
          <cell r="AA1185">
            <v>0</v>
          </cell>
          <cell r="AB1185">
            <v>3509</v>
          </cell>
          <cell r="AC1185">
            <v>0</v>
          </cell>
          <cell r="AD1185">
            <v>0</v>
          </cell>
          <cell r="AE1185">
            <v>0</v>
          </cell>
          <cell r="AF1185">
            <v>0</v>
          </cell>
        </row>
        <row r="1186">
          <cell r="A1186">
            <v>2300047</v>
          </cell>
          <cell r="B1186" t="str">
            <v>2300047</v>
          </cell>
          <cell r="G1186" t="str">
            <v>Pen Drive( CTO)</v>
          </cell>
          <cell r="H1186">
            <v>0</v>
          </cell>
          <cell r="K1186">
            <v>0</v>
          </cell>
          <cell r="L1186">
            <v>0</v>
          </cell>
          <cell r="M1186">
            <v>0</v>
          </cell>
          <cell r="N1186">
            <v>0</v>
          </cell>
          <cell r="O1186">
            <v>0</v>
          </cell>
          <cell r="P1186">
            <v>0</v>
          </cell>
          <cell r="Q1186">
            <v>0</v>
          </cell>
          <cell r="R1186">
            <v>0</v>
          </cell>
          <cell r="S1186">
            <v>0</v>
          </cell>
          <cell r="T1186">
            <v>0</v>
          </cell>
          <cell r="U1186">
            <v>0</v>
          </cell>
          <cell r="V1186">
            <v>-2450</v>
          </cell>
          <cell r="W1186">
            <v>0</v>
          </cell>
          <cell r="X1186">
            <v>0</v>
          </cell>
          <cell r="Y1186">
            <v>0</v>
          </cell>
          <cell r="Z1186">
            <v>0</v>
          </cell>
          <cell r="AA1186">
            <v>0</v>
          </cell>
          <cell r="AB1186">
            <v>2450</v>
          </cell>
          <cell r="AC1186">
            <v>0</v>
          </cell>
          <cell r="AD1186">
            <v>0</v>
          </cell>
          <cell r="AE1186">
            <v>0</v>
          </cell>
          <cell r="AF1186">
            <v>0</v>
          </cell>
        </row>
        <row r="1187">
          <cell r="A1187">
            <v>2300047</v>
          </cell>
          <cell r="H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cell r="AA1187">
            <v>0</v>
          </cell>
          <cell r="AB1187">
            <v>2450</v>
          </cell>
          <cell r="AC1187">
            <v>0</v>
          </cell>
          <cell r="AD1187">
            <v>0</v>
          </cell>
          <cell r="AE1187">
            <v>0</v>
          </cell>
          <cell r="AF1187">
            <v>0</v>
          </cell>
        </row>
        <row r="1188">
          <cell r="A1188">
            <v>2300047</v>
          </cell>
          <cell r="H1188">
            <v>2450</v>
          </cell>
          <cell r="K1188">
            <v>0</v>
          </cell>
          <cell r="L1188">
            <v>0</v>
          </cell>
          <cell r="M1188">
            <v>-2450</v>
          </cell>
          <cell r="N1188">
            <v>0</v>
          </cell>
          <cell r="O1188">
            <v>0</v>
          </cell>
          <cell r="P1188">
            <v>0</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cell r="AD1188">
            <v>0</v>
          </cell>
          <cell r="AE1188">
            <v>0</v>
          </cell>
          <cell r="AF1188">
            <v>0</v>
          </cell>
        </row>
        <row r="1189">
          <cell r="A1189">
            <v>2300047</v>
          </cell>
          <cell r="H1189">
            <v>2450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row>
        <row r="1190">
          <cell r="A1190">
            <v>2300048</v>
          </cell>
          <cell r="B1190" t="str">
            <v>2300048</v>
          </cell>
          <cell r="G1190" t="str">
            <v>PEN DRIVE</v>
          </cell>
          <cell r="H1190">
            <v>0</v>
          </cell>
          <cell r="K1190">
            <v>0</v>
          </cell>
          <cell r="L1190">
            <v>0</v>
          </cell>
          <cell r="M1190">
            <v>0</v>
          </cell>
          <cell r="N1190">
            <v>0</v>
          </cell>
          <cell r="O1190">
            <v>0</v>
          </cell>
          <cell r="P1190">
            <v>0</v>
          </cell>
          <cell r="Q1190">
            <v>0</v>
          </cell>
          <cell r="R1190">
            <v>0</v>
          </cell>
          <cell r="S1190">
            <v>0</v>
          </cell>
          <cell r="T1190">
            <v>0</v>
          </cell>
          <cell r="U1190">
            <v>0</v>
          </cell>
          <cell r="V1190">
            <v>-4100</v>
          </cell>
          <cell r="W1190">
            <v>0</v>
          </cell>
          <cell r="X1190">
            <v>0</v>
          </cell>
          <cell r="Y1190">
            <v>0</v>
          </cell>
          <cell r="Z1190">
            <v>0</v>
          </cell>
          <cell r="AA1190">
            <v>0</v>
          </cell>
          <cell r="AB1190">
            <v>4100</v>
          </cell>
          <cell r="AC1190">
            <v>0</v>
          </cell>
          <cell r="AD1190">
            <v>0</v>
          </cell>
          <cell r="AE1190">
            <v>0</v>
          </cell>
          <cell r="AF1190">
            <v>0</v>
          </cell>
        </row>
        <row r="1191">
          <cell r="A1191">
            <v>2300048</v>
          </cell>
          <cell r="H1191">
            <v>0</v>
          </cell>
          <cell r="K1191">
            <v>0</v>
          </cell>
          <cell r="L1191">
            <v>0</v>
          </cell>
          <cell r="M1191">
            <v>0</v>
          </cell>
          <cell r="N1191">
            <v>0</v>
          </cell>
          <cell r="O1191">
            <v>0</v>
          </cell>
          <cell r="P1191">
            <v>0</v>
          </cell>
          <cell r="Q1191">
            <v>0</v>
          </cell>
          <cell r="R1191">
            <v>0</v>
          </cell>
          <cell r="S1191">
            <v>0</v>
          </cell>
          <cell r="T1191">
            <v>0</v>
          </cell>
          <cell r="U1191">
            <v>0</v>
          </cell>
          <cell r="V1191">
            <v>0</v>
          </cell>
          <cell r="W1191">
            <v>0</v>
          </cell>
          <cell r="X1191">
            <v>0</v>
          </cell>
          <cell r="Y1191">
            <v>0</v>
          </cell>
          <cell r="Z1191">
            <v>0</v>
          </cell>
          <cell r="AA1191">
            <v>0</v>
          </cell>
          <cell r="AB1191">
            <v>4100</v>
          </cell>
          <cell r="AC1191">
            <v>0</v>
          </cell>
          <cell r="AD1191">
            <v>0</v>
          </cell>
          <cell r="AE1191">
            <v>0</v>
          </cell>
          <cell r="AF1191">
            <v>0</v>
          </cell>
        </row>
        <row r="1192">
          <cell r="A1192">
            <v>2300048</v>
          </cell>
          <cell r="H1192">
            <v>4100</v>
          </cell>
          <cell r="K1192">
            <v>0</v>
          </cell>
          <cell r="L1192">
            <v>0</v>
          </cell>
          <cell r="M1192">
            <v>-4100</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cell r="AE1192">
            <v>0</v>
          </cell>
          <cell r="AF1192">
            <v>0</v>
          </cell>
        </row>
        <row r="1193">
          <cell r="A1193">
            <v>2300048</v>
          </cell>
          <cell r="H1193">
            <v>4100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cell r="AD1193">
            <v>0</v>
          </cell>
          <cell r="AE1193">
            <v>0</v>
          </cell>
          <cell r="AF1193">
            <v>0</v>
          </cell>
        </row>
        <row r="1194">
          <cell r="A1194">
            <v>2300049</v>
          </cell>
          <cell r="B1194" t="str">
            <v>2300049</v>
          </cell>
          <cell r="G1194" t="str">
            <v>PEN DRIVE</v>
          </cell>
          <cell r="H1194">
            <v>0</v>
          </cell>
          <cell r="K1194">
            <v>0</v>
          </cell>
          <cell r="L1194">
            <v>0</v>
          </cell>
          <cell r="M1194">
            <v>0</v>
          </cell>
          <cell r="N1194">
            <v>0</v>
          </cell>
          <cell r="O1194">
            <v>0</v>
          </cell>
          <cell r="P1194">
            <v>0</v>
          </cell>
          <cell r="Q1194">
            <v>0</v>
          </cell>
          <cell r="R1194">
            <v>0</v>
          </cell>
          <cell r="S1194">
            <v>0</v>
          </cell>
          <cell r="T1194">
            <v>0</v>
          </cell>
          <cell r="U1194">
            <v>0</v>
          </cell>
          <cell r="V1194">
            <v>-3300</v>
          </cell>
          <cell r="W1194">
            <v>0</v>
          </cell>
          <cell r="X1194">
            <v>0</v>
          </cell>
          <cell r="Y1194">
            <v>0</v>
          </cell>
          <cell r="Z1194">
            <v>0</v>
          </cell>
          <cell r="AA1194">
            <v>0</v>
          </cell>
          <cell r="AB1194">
            <v>3300</v>
          </cell>
          <cell r="AC1194">
            <v>0</v>
          </cell>
          <cell r="AD1194">
            <v>0</v>
          </cell>
          <cell r="AE1194">
            <v>0</v>
          </cell>
          <cell r="AF1194">
            <v>0</v>
          </cell>
        </row>
        <row r="1195">
          <cell r="A1195">
            <v>2300049</v>
          </cell>
          <cell r="H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v>0</v>
          </cell>
          <cell r="Z1195">
            <v>0</v>
          </cell>
          <cell r="AA1195">
            <v>0</v>
          </cell>
          <cell r="AB1195">
            <v>3300</v>
          </cell>
          <cell r="AC1195">
            <v>0</v>
          </cell>
          <cell r="AD1195">
            <v>0</v>
          </cell>
          <cell r="AE1195">
            <v>0</v>
          </cell>
          <cell r="AF1195">
            <v>0</v>
          </cell>
        </row>
        <row r="1196">
          <cell r="A1196">
            <v>2300050</v>
          </cell>
          <cell r="B1196" t="str">
            <v>2300050</v>
          </cell>
          <cell r="G1196" t="str">
            <v>Pen Drive -1Gb</v>
          </cell>
        </row>
        <row r="1197">
          <cell r="A1197">
            <v>2300051</v>
          </cell>
          <cell r="B1197" t="str">
            <v>2300051</v>
          </cell>
          <cell r="G1197" t="str">
            <v>hard Disk - 80Gb</v>
          </cell>
        </row>
        <row r="1198">
          <cell r="A1198">
            <v>2300052</v>
          </cell>
          <cell r="B1198" t="str">
            <v>2300052</v>
          </cell>
          <cell r="G1198" t="str">
            <v>hard Disk - 80Gb</v>
          </cell>
        </row>
        <row r="1199">
          <cell r="A1199">
            <v>2400000</v>
          </cell>
          <cell r="B1199" t="str">
            <v>2400000</v>
          </cell>
          <cell r="G1199" t="str">
            <v>ELECTRIC FEETINGS</v>
          </cell>
          <cell r="H1199">
            <v>2400</v>
          </cell>
          <cell r="K1199">
            <v>0</v>
          </cell>
          <cell r="L1199">
            <v>0</v>
          </cell>
          <cell r="M1199">
            <v>-2400</v>
          </cell>
          <cell r="N1199">
            <v>0</v>
          </cell>
          <cell r="O1199">
            <v>0</v>
          </cell>
          <cell r="P1199">
            <v>0</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cell r="AD1199">
            <v>0</v>
          </cell>
          <cell r="AE1199">
            <v>0</v>
          </cell>
          <cell r="AF1199">
            <v>0</v>
          </cell>
        </row>
        <row r="1200">
          <cell r="A1200">
            <v>2400000</v>
          </cell>
          <cell r="H1200">
            <v>2400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cell r="AD1200">
            <v>0</v>
          </cell>
          <cell r="AE1200">
            <v>0</v>
          </cell>
          <cell r="AF1200">
            <v>0</v>
          </cell>
        </row>
        <row r="1201">
          <cell r="A1201">
            <v>2400000</v>
          </cell>
          <cell r="H1201">
            <v>2400</v>
          </cell>
          <cell r="K1201">
            <v>0</v>
          </cell>
          <cell r="L1201">
            <v>0</v>
          </cell>
          <cell r="M1201">
            <v>-2400</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cell r="AD1201">
            <v>0</v>
          </cell>
          <cell r="AE1201">
            <v>0</v>
          </cell>
          <cell r="AF1201">
            <v>0</v>
          </cell>
        </row>
        <row r="1202">
          <cell r="A1202">
            <v>2400000</v>
          </cell>
          <cell r="H1202">
            <v>2400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cell r="AD1202">
            <v>0</v>
          </cell>
          <cell r="AE1202">
            <v>0</v>
          </cell>
          <cell r="AF1202">
            <v>0</v>
          </cell>
        </row>
        <row r="1203">
          <cell r="A1203">
            <v>2400001</v>
          </cell>
          <cell r="B1203" t="str">
            <v>2400001</v>
          </cell>
          <cell r="G1203" t="str">
            <v>CORDLESS PHONE</v>
          </cell>
          <cell r="H1203">
            <v>2250</v>
          </cell>
          <cell r="K1203">
            <v>0</v>
          </cell>
          <cell r="L1203">
            <v>0</v>
          </cell>
          <cell r="M1203">
            <v>-2250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cell r="AE1203">
            <v>0</v>
          </cell>
          <cell r="AF1203">
            <v>0</v>
          </cell>
        </row>
        <row r="1204">
          <cell r="A1204">
            <v>2400001</v>
          </cell>
          <cell r="H1204">
            <v>2250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cell r="AE1204">
            <v>0</v>
          </cell>
          <cell r="AF1204">
            <v>0</v>
          </cell>
        </row>
        <row r="1205">
          <cell r="A1205">
            <v>2400001</v>
          </cell>
          <cell r="H1205">
            <v>2250</v>
          </cell>
          <cell r="K1205">
            <v>0</v>
          </cell>
          <cell r="L1205">
            <v>0</v>
          </cell>
          <cell r="M1205">
            <v>-2250</v>
          </cell>
          <cell r="N1205">
            <v>0</v>
          </cell>
          <cell r="O1205">
            <v>0</v>
          </cell>
          <cell r="P1205">
            <v>0</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cell r="AD1205">
            <v>0</v>
          </cell>
          <cell r="AE1205">
            <v>0</v>
          </cell>
          <cell r="AF1205">
            <v>0</v>
          </cell>
        </row>
        <row r="1206">
          <cell r="A1206">
            <v>2400001</v>
          </cell>
          <cell r="H1206">
            <v>2250</v>
          </cell>
          <cell r="K1206">
            <v>0</v>
          </cell>
          <cell r="L1206">
            <v>0</v>
          </cell>
          <cell r="M1206">
            <v>0</v>
          </cell>
          <cell r="N1206">
            <v>0</v>
          </cell>
          <cell r="O1206">
            <v>0</v>
          </cell>
          <cell r="P1206">
            <v>0</v>
          </cell>
          <cell r="Q1206">
            <v>0</v>
          </cell>
          <cell r="R1206">
            <v>0</v>
          </cell>
          <cell r="S1206">
            <v>0</v>
          </cell>
          <cell r="T1206">
            <v>0</v>
          </cell>
          <cell r="U1206">
            <v>0</v>
          </cell>
          <cell r="V1206">
            <v>0</v>
          </cell>
          <cell r="W1206">
            <v>0</v>
          </cell>
          <cell r="X1206">
            <v>0</v>
          </cell>
          <cell r="Y1206">
            <v>0</v>
          </cell>
          <cell r="Z1206">
            <v>0</v>
          </cell>
          <cell r="AA1206">
            <v>0</v>
          </cell>
          <cell r="AB1206">
            <v>0</v>
          </cell>
          <cell r="AC1206">
            <v>0</v>
          </cell>
          <cell r="AD1206">
            <v>0</v>
          </cell>
          <cell r="AE1206">
            <v>0</v>
          </cell>
          <cell r="AF1206">
            <v>0</v>
          </cell>
        </row>
        <row r="1207">
          <cell r="A1207">
            <v>2400002</v>
          </cell>
          <cell r="B1207" t="str">
            <v>2400002</v>
          </cell>
          <cell r="G1207" t="str">
            <v>Y@ P PHONE</v>
          </cell>
          <cell r="H1207">
            <v>1430</v>
          </cell>
          <cell r="K1207">
            <v>0</v>
          </cell>
          <cell r="L1207">
            <v>0</v>
          </cell>
          <cell r="M1207">
            <v>-1430</v>
          </cell>
          <cell r="N1207">
            <v>0</v>
          </cell>
          <cell r="O1207">
            <v>0</v>
          </cell>
          <cell r="P1207">
            <v>0</v>
          </cell>
          <cell r="Q1207">
            <v>0</v>
          </cell>
          <cell r="R1207">
            <v>0</v>
          </cell>
          <cell r="S1207">
            <v>0</v>
          </cell>
          <cell r="T1207">
            <v>0</v>
          </cell>
          <cell r="U1207">
            <v>0</v>
          </cell>
          <cell r="V1207">
            <v>0</v>
          </cell>
          <cell r="W1207">
            <v>0</v>
          </cell>
          <cell r="X1207">
            <v>0</v>
          </cell>
          <cell r="Y1207">
            <v>0</v>
          </cell>
          <cell r="Z1207">
            <v>0</v>
          </cell>
          <cell r="AA1207">
            <v>0</v>
          </cell>
          <cell r="AB1207">
            <v>0</v>
          </cell>
          <cell r="AC1207">
            <v>0</v>
          </cell>
          <cell r="AD1207">
            <v>0</v>
          </cell>
          <cell r="AE1207">
            <v>0</v>
          </cell>
          <cell r="AF1207">
            <v>0</v>
          </cell>
        </row>
        <row r="1208">
          <cell r="A1208">
            <v>2400002</v>
          </cell>
          <cell r="H1208">
            <v>1430</v>
          </cell>
          <cell r="K1208">
            <v>0</v>
          </cell>
          <cell r="L1208">
            <v>0</v>
          </cell>
          <cell r="M1208">
            <v>0</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cell r="AD1208">
            <v>0</v>
          </cell>
          <cell r="AE1208">
            <v>0</v>
          </cell>
          <cell r="AF1208">
            <v>0</v>
          </cell>
        </row>
        <row r="1209">
          <cell r="A1209">
            <v>2400002</v>
          </cell>
          <cell r="H1209">
            <v>1430</v>
          </cell>
          <cell r="K1209">
            <v>0</v>
          </cell>
          <cell r="L1209">
            <v>0</v>
          </cell>
          <cell r="M1209">
            <v>-1430</v>
          </cell>
          <cell r="N1209">
            <v>0</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cell r="AE1209">
            <v>0</v>
          </cell>
          <cell r="AF1209">
            <v>0</v>
          </cell>
        </row>
        <row r="1210">
          <cell r="A1210">
            <v>2400002</v>
          </cell>
          <cell r="H1210">
            <v>1430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cell r="AE1210">
            <v>0</v>
          </cell>
          <cell r="AF1210">
            <v>0</v>
          </cell>
        </row>
        <row r="1211">
          <cell r="A1211">
            <v>2400003</v>
          </cell>
          <cell r="B1211" t="str">
            <v>2400003</v>
          </cell>
          <cell r="G1211" t="str">
            <v>TELEPHONE</v>
          </cell>
          <cell r="H1211">
            <v>1140</v>
          </cell>
          <cell r="K1211">
            <v>0</v>
          </cell>
          <cell r="L1211">
            <v>0</v>
          </cell>
          <cell r="M1211">
            <v>-1140</v>
          </cell>
          <cell r="N1211">
            <v>0</v>
          </cell>
          <cell r="O1211">
            <v>0</v>
          </cell>
          <cell r="P1211">
            <v>0</v>
          </cell>
          <cell r="Q1211">
            <v>0</v>
          </cell>
          <cell r="R1211">
            <v>0</v>
          </cell>
          <cell r="S1211">
            <v>0</v>
          </cell>
          <cell r="T1211">
            <v>0</v>
          </cell>
          <cell r="U1211">
            <v>0</v>
          </cell>
          <cell r="V1211">
            <v>0</v>
          </cell>
          <cell r="W1211">
            <v>0</v>
          </cell>
          <cell r="X1211">
            <v>0</v>
          </cell>
          <cell r="Y1211">
            <v>0</v>
          </cell>
          <cell r="Z1211">
            <v>0</v>
          </cell>
          <cell r="AA1211">
            <v>0</v>
          </cell>
          <cell r="AB1211">
            <v>0</v>
          </cell>
          <cell r="AC1211">
            <v>0</v>
          </cell>
          <cell r="AD1211">
            <v>0</v>
          </cell>
          <cell r="AE1211">
            <v>0</v>
          </cell>
          <cell r="AF1211">
            <v>0</v>
          </cell>
        </row>
        <row r="1212">
          <cell r="A1212">
            <v>2400003</v>
          </cell>
          <cell r="H1212">
            <v>1140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cell r="AD1212">
            <v>0</v>
          </cell>
          <cell r="AE1212">
            <v>0</v>
          </cell>
          <cell r="AF1212">
            <v>0</v>
          </cell>
        </row>
        <row r="1213">
          <cell r="A1213">
            <v>2400003</v>
          </cell>
          <cell r="H1213">
            <v>1140</v>
          </cell>
          <cell r="K1213">
            <v>0</v>
          </cell>
          <cell r="L1213">
            <v>0</v>
          </cell>
          <cell r="M1213">
            <v>-1140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cell r="AE1213">
            <v>0</v>
          </cell>
          <cell r="AF1213">
            <v>0</v>
          </cell>
        </row>
        <row r="1214">
          <cell r="A1214">
            <v>2400003</v>
          </cell>
          <cell r="H1214">
            <v>1140</v>
          </cell>
          <cell r="K1214">
            <v>0</v>
          </cell>
          <cell r="L1214">
            <v>0</v>
          </cell>
          <cell r="M1214">
            <v>0</v>
          </cell>
          <cell r="N1214">
            <v>0</v>
          </cell>
          <cell r="O1214">
            <v>0</v>
          </cell>
          <cell r="P1214">
            <v>0</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cell r="AD1214">
            <v>0</v>
          </cell>
          <cell r="AE1214">
            <v>0</v>
          </cell>
          <cell r="AF1214">
            <v>0</v>
          </cell>
        </row>
        <row r="1215">
          <cell r="A1215">
            <v>2400004</v>
          </cell>
          <cell r="B1215" t="str">
            <v>2400004</v>
          </cell>
          <cell r="G1215" t="str">
            <v>MOBILE BATTERY</v>
          </cell>
          <cell r="H1215">
            <v>2700</v>
          </cell>
          <cell r="K1215">
            <v>0</v>
          </cell>
          <cell r="L1215">
            <v>0</v>
          </cell>
          <cell r="M1215">
            <v>-2700</v>
          </cell>
          <cell r="N1215">
            <v>0</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cell r="AE1215">
            <v>0</v>
          </cell>
          <cell r="AF1215">
            <v>0</v>
          </cell>
        </row>
        <row r="1216">
          <cell r="A1216">
            <v>2400004</v>
          </cell>
          <cell r="H1216">
            <v>2700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row>
        <row r="1217">
          <cell r="A1217">
            <v>2400004</v>
          </cell>
          <cell r="H1217">
            <v>2700</v>
          </cell>
          <cell r="K1217">
            <v>0</v>
          </cell>
          <cell r="L1217">
            <v>0</v>
          </cell>
          <cell r="M1217">
            <v>-2700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cell r="AE1217">
            <v>0</v>
          </cell>
          <cell r="AF1217">
            <v>0</v>
          </cell>
        </row>
        <row r="1218">
          <cell r="A1218">
            <v>2400004</v>
          </cell>
          <cell r="H1218">
            <v>2700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row>
        <row r="1219">
          <cell r="A1219">
            <v>2400005</v>
          </cell>
          <cell r="B1219" t="str">
            <v>2400005</v>
          </cell>
          <cell r="G1219" t="str">
            <v>MOBILE PHONE -Gulshan</v>
          </cell>
          <cell r="H1219">
            <v>5000</v>
          </cell>
          <cell r="K1219">
            <v>0</v>
          </cell>
          <cell r="L1219">
            <v>0</v>
          </cell>
          <cell r="M1219">
            <v>-5000</v>
          </cell>
          <cell r="N1219">
            <v>0</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cell r="AE1219">
            <v>0</v>
          </cell>
          <cell r="AF1219">
            <v>0</v>
          </cell>
        </row>
        <row r="1220">
          <cell r="A1220">
            <v>2400005</v>
          </cell>
          <cell r="H1220">
            <v>5000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cell r="AE1220">
            <v>0</v>
          </cell>
          <cell r="AF1220">
            <v>0</v>
          </cell>
        </row>
        <row r="1221">
          <cell r="A1221">
            <v>2400005</v>
          </cell>
          <cell r="H1221">
            <v>5000</v>
          </cell>
          <cell r="K1221">
            <v>0</v>
          </cell>
          <cell r="L1221">
            <v>0</v>
          </cell>
          <cell r="M1221">
            <v>-5000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row>
        <row r="1222">
          <cell r="A1222">
            <v>2400005</v>
          </cell>
          <cell r="H1222">
            <v>5000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row>
        <row r="1223">
          <cell r="A1223">
            <v>2400006</v>
          </cell>
          <cell r="B1223" t="str">
            <v>2400006</v>
          </cell>
          <cell r="G1223" t="str">
            <v>MOBILE PHONE -Saurabh</v>
          </cell>
          <cell r="H1223">
            <v>2900</v>
          </cell>
          <cell r="K1223">
            <v>0</v>
          </cell>
          <cell r="L1223">
            <v>0</v>
          </cell>
          <cell r="M1223">
            <v>-2900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row>
        <row r="1224">
          <cell r="A1224">
            <v>2400006</v>
          </cell>
          <cell r="H1224">
            <v>2900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row>
        <row r="1225">
          <cell r="A1225">
            <v>2400006</v>
          </cell>
          <cell r="H1225">
            <v>2900</v>
          </cell>
          <cell r="K1225">
            <v>0</v>
          </cell>
          <cell r="L1225">
            <v>0</v>
          </cell>
          <cell r="M1225">
            <v>-2900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row>
        <row r="1226">
          <cell r="A1226">
            <v>2400006</v>
          </cell>
          <cell r="H1226">
            <v>2900</v>
          </cell>
          <cell r="K1226">
            <v>0</v>
          </cell>
          <cell r="L1226">
            <v>0</v>
          </cell>
          <cell r="M1226">
            <v>0</v>
          </cell>
          <cell r="N1226">
            <v>0</v>
          </cell>
          <cell r="O1226">
            <v>0</v>
          </cell>
          <cell r="P1226">
            <v>0</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cell r="AD1226">
            <v>0</v>
          </cell>
          <cell r="AE1226">
            <v>0</v>
          </cell>
          <cell r="AF1226">
            <v>0</v>
          </cell>
        </row>
        <row r="1227">
          <cell r="A1227">
            <v>2400007</v>
          </cell>
          <cell r="B1227" t="str">
            <v>2400007</v>
          </cell>
          <cell r="G1227" t="str">
            <v>Panasonic -</v>
          </cell>
          <cell r="H1227">
            <v>3800</v>
          </cell>
          <cell r="K1227">
            <v>0</v>
          </cell>
          <cell r="L1227">
            <v>0</v>
          </cell>
          <cell r="M1227">
            <v>-3800</v>
          </cell>
          <cell r="N1227">
            <v>0</v>
          </cell>
          <cell r="O1227">
            <v>0</v>
          </cell>
          <cell r="P1227">
            <v>0</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cell r="AD1227">
            <v>0</v>
          </cell>
          <cell r="AE1227">
            <v>0</v>
          </cell>
          <cell r="AF1227">
            <v>0</v>
          </cell>
        </row>
        <row r="1228">
          <cell r="A1228">
            <v>2400007</v>
          </cell>
          <cell r="H1228">
            <v>3800</v>
          </cell>
          <cell r="K1228">
            <v>0</v>
          </cell>
          <cell r="L1228">
            <v>0</v>
          </cell>
          <cell r="M1228">
            <v>0</v>
          </cell>
          <cell r="N1228">
            <v>0</v>
          </cell>
          <cell r="O1228">
            <v>0</v>
          </cell>
          <cell r="P1228">
            <v>0</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cell r="AD1228">
            <v>0</v>
          </cell>
          <cell r="AE1228">
            <v>0</v>
          </cell>
          <cell r="AF1228">
            <v>0</v>
          </cell>
        </row>
        <row r="1229">
          <cell r="A1229">
            <v>2400007</v>
          </cell>
          <cell r="H1229">
            <v>3800</v>
          </cell>
          <cell r="K1229">
            <v>0</v>
          </cell>
          <cell r="L1229">
            <v>0</v>
          </cell>
          <cell r="M1229">
            <v>-3800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row>
        <row r="1230">
          <cell r="A1230">
            <v>2400007</v>
          </cell>
          <cell r="H1230">
            <v>3800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row>
        <row r="1231">
          <cell r="A1231">
            <v>2400008</v>
          </cell>
          <cell r="B1231" t="str">
            <v>2400008</v>
          </cell>
          <cell r="G1231" t="str">
            <v>MOBILE PHONE -Vikram</v>
          </cell>
          <cell r="H1231">
            <v>5000</v>
          </cell>
          <cell r="K1231">
            <v>0</v>
          </cell>
          <cell r="L1231">
            <v>0</v>
          </cell>
          <cell r="M1231">
            <v>-5000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row>
        <row r="1232">
          <cell r="A1232">
            <v>2400008</v>
          </cell>
          <cell r="H1232">
            <v>5000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row>
        <row r="1233">
          <cell r="A1233">
            <v>2400008</v>
          </cell>
          <cell r="H1233">
            <v>5000</v>
          </cell>
          <cell r="K1233">
            <v>0</v>
          </cell>
          <cell r="L1233">
            <v>0</v>
          </cell>
          <cell r="M1233">
            <v>-5000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row>
        <row r="1234">
          <cell r="A1234">
            <v>2400008</v>
          </cell>
          <cell r="H1234">
            <v>5000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row>
        <row r="1235">
          <cell r="A1235">
            <v>2400009</v>
          </cell>
          <cell r="B1235" t="str">
            <v>2400009</v>
          </cell>
          <cell r="G1235" t="str">
            <v>NOTICE BOARD</v>
          </cell>
          <cell r="H1235">
            <v>2340</v>
          </cell>
          <cell r="K1235">
            <v>0</v>
          </cell>
          <cell r="L1235">
            <v>0</v>
          </cell>
          <cell r="M1235">
            <v>-2340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row>
        <row r="1236">
          <cell r="A1236">
            <v>2400009</v>
          </cell>
          <cell r="H1236">
            <v>2340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cell r="AE1236">
            <v>0</v>
          </cell>
          <cell r="AF1236">
            <v>0</v>
          </cell>
        </row>
        <row r="1237">
          <cell r="A1237">
            <v>2400009</v>
          </cell>
          <cell r="H1237">
            <v>2340</v>
          </cell>
          <cell r="K1237">
            <v>0</v>
          </cell>
          <cell r="L1237">
            <v>0</v>
          </cell>
          <cell r="M1237">
            <v>-2340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cell r="AE1237">
            <v>0</v>
          </cell>
          <cell r="AF1237">
            <v>0</v>
          </cell>
        </row>
        <row r="1238">
          <cell r="A1238">
            <v>2400009</v>
          </cell>
          <cell r="H1238">
            <v>2340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cell r="AD1238">
            <v>0</v>
          </cell>
          <cell r="AE1238">
            <v>0</v>
          </cell>
          <cell r="AF1238">
            <v>0</v>
          </cell>
        </row>
        <row r="1239">
          <cell r="A1239">
            <v>2400010</v>
          </cell>
          <cell r="B1239" t="str">
            <v>2400010</v>
          </cell>
          <cell r="G1239" t="str">
            <v>MICROBURST DISPENSER</v>
          </cell>
          <cell r="H1239">
            <v>4099</v>
          </cell>
          <cell r="K1239">
            <v>0</v>
          </cell>
          <cell r="L1239">
            <v>0</v>
          </cell>
          <cell r="M1239">
            <v>-4099</v>
          </cell>
          <cell r="N1239">
            <v>0</v>
          </cell>
          <cell r="O1239">
            <v>0</v>
          </cell>
          <cell r="P1239">
            <v>0</v>
          </cell>
          <cell r="Q1239">
            <v>0</v>
          </cell>
          <cell r="R1239">
            <v>0</v>
          </cell>
          <cell r="S1239">
            <v>0</v>
          </cell>
          <cell r="T1239">
            <v>0</v>
          </cell>
          <cell r="U1239">
            <v>0</v>
          </cell>
          <cell r="V1239">
            <v>0</v>
          </cell>
          <cell r="W1239">
            <v>0</v>
          </cell>
          <cell r="X1239">
            <v>0</v>
          </cell>
          <cell r="Y1239">
            <v>0</v>
          </cell>
          <cell r="Z1239">
            <v>0</v>
          </cell>
          <cell r="AA1239">
            <v>0</v>
          </cell>
          <cell r="AB1239">
            <v>0</v>
          </cell>
          <cell r="AC1239">
            <v>0</v>
          </cell>
          <cell r="AD1239">
            <v>0</v>
          </cell>
          <cell r="AE1239">
            <v>0</v>
          </cell>
          <cell r="AF1239">
            <v>0</v>
          </cell>
        </row>
        <row r="1240">
          <cell r="A1240">
            <v>2400010</v>
          </cell>
          <cell r="H1240">
            <v>4099</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cell r="AD1240">
            <v>0</v>
          </cell>
          <cell r="AE1240">
            <v>0</v>
          </cell>
          <cell r="AF1240">
            <v>0</v>
          </cell>
        </row>
        <row r="1241">
          <cell r="A1241">
            <v>2400010</v>
          </cell>
          <cell r="H1241">
            <v>4099</v>
          </cell>
          <cell r="K1241">
            <v>0</v>
          </cell>
          <cell r="L1241">
            <v>0</v>
          </cell>
          <cell r="M1241">
            <v>-4099</v>
          </cell>
          <cell r="N1241">
            <v>0</v>
          </cell>
          <cell r="O1241">
            <v>0</v>
          </cell>
          <cell r="P1241">
            <v>0</v>
          </cell>
          <cell r="Q1241">
            <v>0</v>
          </cell>
          <cell r="R1241">
            <v>0</v>
          </cell>
          <cell r="S1241">
            <v>0</v>
          </cell>
          <cell r="T1241">
            <v>0</v>
          </cell>
          <cell r="U1241">
            <v>0</v>
          </cell>
          <cell r="V1241">
            <v>0</v>
          </cell>
          <cell r="W1241">
            <v>0</v>
          </cell>
          <cell r="X1241">
            <v>0</v>
          </cell>
          <cell r="Y1241">
            <v>0</v>
          </cell>
          <cell r="Z1241">
            <v>0</v>
          </cell>
          <cell r="AA1241">
            <v>0</v>
          </cell>
          <cell r="AB1241">
            <v>0</v>
          </cell>
          <cell r="AC1241">
            <v>0</v>
          </cell>
          <cell r="AD1241">
            <v>0</v>
          </cell>
          <cell r="AE1241">
            <v>0</v>
          </cell>
          <cell r="AF1241">
            <v>0</v>
          </cell>
        </row>
        <row r="1242">
          <cell r="A1242">
            <v>2400010</v>
          </cell>
          <cell r="H1242">
            <v>4099</v>
          </cell>
          <cell r="K1242">
            <v>0</v>
          </cell>
          <cell r="L1242">
            <v>0</v>
          </cell>
          <cell r="M1242">
            <v>0</v>
          </cell>
          <cell r="N1242">
            <v>0</v>
          </cell>
          <cell r="O1242">
            <v>0</v>
          </cell>
          <cell r="P1242">
            <v>0</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cell r="AD1242">
            <v>0</v>
          </cell>
          <cell r="AE1242">
            <v>0</v>
          </cell>
          <cell r="AF1242">
            <v>0</v>
          </cell>
        </row>
        <row r="1243">
          <cell r="A1243">
            <v>2400011</v>
          </cell>
          <cell r="B1243" t="str">
            <v>2400011</v>
          </cell>
          <cell r="G1243" t="str">
            <v>COMMUNICATION EQUIP.</v>
          </cell>
          <cell r="H1243">
            <v>4600</v>
          </cell>
          <cell r="K1243">
            <v>0</v>
          </cell>
          <cell r="L1243">
            <v>0</v>
          </cell>
          <cell r="M1243">
            <v>-4600</v>
          </cell>
          <cell r="N1243">
            <v>0</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cell r="AD1243">
            <v>0</v>
          </cell>
          <cell r="AE1243">
            <v>0</v>
          </cell>
          <cell r="AF1243">
            <v>0</v>
          </cell>
        </row>
        <row r="1244">
          <cell r="A1244">
            <v>2400011</v>
          </cell>
          <cell r="H1244">
            <v>4600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cell r="AE1244">
            <v>0</v>
          </cell>
          <cell r="AF1244">
            <v>0</v>
          </cell>
        </row>
        <row r="1245">
          <cell r="A1245">
            <v>2400011</v>
          </cell>
          <cell r="H1245">
            <v>4600</v>
          </cell>
          <cell r="K1245">
            <v>0</v>
          </cell>
          <cell r="L1245">
            <v>0</v>
          </cell>
          <cell r="M1245">
            <v>-4600</v>
          </cell>
          <cell r="N1245">
            <v>0</v>
          </cell>
          <cell r="O1245">
            <v>0</v>
          </cell>
          <cell r="P1245">
            <v>0</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cell r="AD1245">
            <v>0</v>
          </cell>
          <cell r="AE1245">
            <v>0</v>
          </cell>
          <cell r="AF1245">
            <v>0</v>
          </cell>
        </row>
        <row r="1246">
          <cell r="A1246">
            <v>2400011</v>
          </cell>
          <cell r="H1246">
            <v>4600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cell r="AD1246">
            <v>0</v>
          </cell>
          <cell r="AE1246">
            <v>0</v>
          </cell>
          <cell r="AF1246">
            <v>0</v>
          </cell>
        </row>
        <row r="1247">
          <cell r="A1247">
            <v>2400012</v>
          </cell>
          <cell r="B1247" t="str">
            <v>2400012</v>
          </cell>
          <cell r="G1247" t="str">
            <v>COMMUNICATION EQUIP.</v>
          </cell>
          <cell r="H1247">
            <v>3000</v>
          </cell>
          <cell r="K1247">
            <v>0</v>
          </cell>
          <cell r="L1247">
            <v>0</v>
          </cell>
          <cell r="M1247">
            <v>-3000</v>
          </cell>
          <cell r="N1247">
            <v>0</v>
          </cell>
          <cell r="O1247">
            <v>0</v>
          </cell>
          <cell r="P1247">
            <v>0</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cell r="AD1247">
            <v>0</v>
          </cell>
          <cell r="AE1247">
            <v>0</v>
          </cell>
          <cell r="AF1247">
            <v>0</v>
          </cell>
        </row>
        <row r="1248">
          <cell r="A1248">
            <v>2400012</v>
          </cell>
          <cell r="H1248">
            <v>3000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cell r="AD1248">
            <v>0</v>
          </cell>
          <cell r="AE1248">
            <v>0</v>
          </cell>
          <cell r="AF1248">
            <v>0</v>
          </cell>
        </row>
        <row r="1249">
          <cell r="A1249">
            <v>2400012</v>
          </cell>
          <cell r="H1249">
            <v>3000</v>
          </cell>
          <cell r="K1249">
            <v>0</v>
          </cell>
          <cell r="L1249">
            <v>0</v>
          </cell>
          <cell r="M1249">
            <v>-3000</v>
          </cell>
          <cell r="N1249">
            <v>0</v>
          </cell>
          <cell r="O1249">
            <v>0</v>
          </cell>
          <cell r="P1249">
            <v>0</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cell r="AD1249">
            <v>0</v>
          </cell>
          <cell r="AE1249">
            <v>0</v>
          </cell>
          <cell r="AF1249">
            <v>0</v>
          </cell>
        </row>
        <row r="1250">
          <cell r="A1250">
            <v>2400012</v>
          </cell>
          <cell r="H1250">
            <v>3000</v>
          </cell>
          <cell r="K1250">
            <v>0</v>
          </cell>
          <cell r="L1250">
            <v>0</v>
          </cell>
          <cell r="M1250">
            <v>0</v>
          </cell>
          <cell r="N1250">
            <v>0</v>
          </cell>
          <cell r="O1250">
            <v>0</v>
          </cell>
          <cell r="P1250">
            <v>0</v>
          </cell>
          <cell r="Q1250">
            <v>0</v>
          </cell>
          <cell r="R1250">
            <v>0</v>
          </cell>
          <cell r="S1250">
            <v>0</v>
          </cell>
          <cell r="T1250">
            <v>0</v>
          </cell>
          <cell r="U1250">
            <v>0</v>
          </cell>
          <cell r="V1250">
            <v>0</v>
          </cell>
          <cell r="W1250">
            <v>0</v>
          </cell>
          <cell r="X1250">
            <v>0</v>
          </cell>
          <cell r="Y1250">
            <v>0</v>
          </cell>
          <cell r="Z1250">
            <v>0</v>
          </cell>
          <cell r="AA1250">
            <v>0</v>
          </cell>
          <cell r="AB1250">
            <v>0</v>
          </cell>
          <cell r="AC1250">
            <v>0</v>
          </cell>
          <cell r="AD1250">
            <v>0</v>
          </cell>
          <cell r="AE1250">
            <v>0</v>
          </cell>
          <cell r="AF1250">
            <v>0</v>
          </cell>
        </row>
        <row r="1251">
          <cell r="A1251">
            <v>2400013</v>
          </cell>
          <cell r="B1251" t="str">
            <v>2400013</v>
          </cell>
          <cell r="G1251" t="str">
            <v>COMMUNICATION EQUIP.</v>
          </cell>
          <cell r="H1251">
            <v>1417</v>
          </cell>
          <cell r="K1251">
            <v>0</v>
          </cell>
          <cell r="L1251">
            <v>0</v>
          </cell>
          <cell r="M1251">
            <v>-1417</v>
          </cell>
          <cell r="N1251">
            <v>0</v>
          </cell>
          <cell r="O1251">
            <v>0</v>
          </cell>
          <cell r="P1251">
            <v>0</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cell r="AD1251">
            <v>0</v>
          </cell>
          <cell r="AE1251">
            <v>0</v>
          </cell>
          <cell r="AF1251">
            <v>0</v>
          </cell>
        </row>
        <row r="1252">
          <cell r="A1252">
            <v>2400013</v>
          </cell>
          <cell r="H1252">
            <v>1417</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cell r="AD1252">
            <v>0</v>
          </cell>
          <cell r="AE1252">
            <v>0</v>
          </cell>
          <cell r="AF1252">
            <v>0</v>
          </cell>
        </row>
        <row r="1253">
          <cell r="A1253">
            <v>2400013</v>
          </cell>
          <cell r="H1253">
            <v>1417</v>
          </cell>
          <cell r="K1253">
            <v>0</v>
          </cell>
          <cell r="L1253">
            <v>0</v>
          </cell>
          <cell r="M1253">
            <v>-1417</v>
          </cell>
          <cell r="N1253">
            <v>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cell r="AD1253">
            <v>0</v>
          </cell>
          <cell r="AE1253">
            <v>0</v>
          </cell>
          <cell r="AF1253">
            <v>0</v>
          </cell>
        </row>
        <row r="1254">
          <cell r="A1254">
            <v>2400013</v>
          </cell>
          <cell r="H1254">
            <v>1417</v>
          </cell>
          <cell r="K1254">
            <v>0</v>
          </cell>
          <cell r="L1254">
            <v>0</v>
          </cell>
          <cell r="M1254">
            <v>0</v>
          </cell>
          <cell r="N1254">
            <v>0</v>
          </cell>
          <cell r="O1254">
            <v>0</v>
          </cell>
          <cell r="P1254">
            <v>0</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cell r="AD1254">
            <v>0</v>
          </cell>
          <cell r="AE1254">
            <v>0</v>
          </cell>
          <cell r="AF1254">
            <v>0</v>
          </cell>
        </row>
        <row r="1255">
          <cell r="A1255">
            <v>2400014</v>
          </cell>
          <cell r="B1255" t="str">
            <v>2400014</v>
          </cell>
          <cell r="G1255" t="str">
            <v>Epabx 206 Premier</v>
          </cell>
          <cell r="H1255">
            <v>0</v>
          </cell>
          <cell r="K1255">
            <v>0</v>
          </cell>
          <cell r="L1255">
            <v>0</v>
          </cell>
          <cell r="M1255">
            <v>0</v>
          </cell>
          <cell r="N1255">
            <v>0</v>
          </cell>
          <cell r="O1255">
            <v>0</v>
          </cell>
          <cell r="P1255">
            <v>0</v>
          </cell>
          <cell r="Q1255">
            <v>0</v>
          </cell>
          <cell r="R1255">
            <v>0</v>
          </cell>
          <cell r="S1255">
            <v>0</v>
          </cell>
          <cell r="T1255">
            <v>0</v>
          </cell>
          <cell r="U1255">
            <v>0</v>
          </cell>
          <cell r="V1255">
            <v>-4600</v>
          </cell>
          <cell r="W1255">
            <v>0</v>
          </cell>
          <cell r="X1255">
            <v>0</v>
          </cell>
          <cell r="Y1255">
            <v>0</v>
          </cell>
          <cell r="Z1255">
            <v>0</v>
          </cell>
          <cell r="AA1255">
            <v>0</v>
          </cell>
          <cell r="AB1255">
            <v>4600</v>
          </cell>
          <cell r="AC1255">
            <v>0</v>
          </cell>
          <cell r="AD1255">
            <v>0</v>
          </cell>
          <cell r="AE1255">
            <v>0</v>
          </cell>
          <cell r="AF1255">
            <v>0</v>
          </cell>
        </row>
        <row r="1256">
          <cell r="A1256">
            <v>2400014</v>
          </cell>
          <cell r="H1256">
            <v>0</v>
          </cell>
          <cell r="K1256">
            <v>0</v>
          </cell>
          <cell r="L1256">
            <v>0</v>
          </cell>
          <cell r="M1256">
            <v>0</v>
          </cell>
          <cell r="N1256">
            <v>0</v>
          </cell>
          <cell r="O1256">
            <v>0</v>
          </cell>
          <cell r="P1256">
            <v>0</v>
          </cell>
          <cell r="Q1256">
            <v>0</v>
          </cell>
          <cell r="R1256">
            <v>0</v>
          </cell>
          <cell r="S1256">
            <v>0</v>
          </cell>
          <cell r="T1256">
            <v>0</v>
          </cell>
          <cell r="U1256">
            <v>0</v>
          </cell>
          <cell r="V1256">
            <v>-1150</v>
          </cell>
          <cell r="W1256">
            <v>0</v>
          </cell>
          <cell r="X1256">
            <v>0</v>
          </cell>
          <cell r="Y1256">
            <v>0</v>
          </cell>
          <cell r="Z1256">
            <v>0</v>
          </cell>
          <cell r="AA1256">
            <v>0</v>
          </cell>
          <cell r="AB1256">
            <v>4600</v>
          </cell>
          <cell r="AC1256">
            <v>0</v>
          </cell>
          <cell r="AD1256">
            <v>0</v>
          </cell>
          <cell r="AE1256">
            <v>0</v>
          </cell>
          <cell r="AF1256">
            <v>0</v>
          </cell>
        </row>
        <row r="1257">
          <cell r="A1257">
            <v>2400014</v>
          </cell>
          <cell r="H1257">
            <v>4600</v>
          </cell>
          <cell r="K1257">
            <v>0</v>
          </cell>
          <cell r="L1257">
            <v>0</v>
          </cell>
          <cell r="M1257">
            <v>-4600</v>
          </cell>
          <cell r="N1257">
            <v>0</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cell r="AD1257">
            <v>0</v>
          </cell>
          <cell r="AE1257">
            <v>0</v>
          </cell>
          <cell r="AF1257">
            <v>0</v>
          </cell>
        </row>
        <row r="1258">
          <cell r="A1258">
            <v>2400014</v>
          </cell>
          <cell r="H1258">
            <v>4600</v>
          </cell>
          <cell r="K1258">
            <v>0</v>
          </cell>
          <cell r="L1258">
            <v>0</v>
          </cell>
          <cell r="M1258">
            <v>-1150</v>
          </cell>
          <cell r="N1258">
            <v>0</v>
          </cell>
          <cell r="O1258">
            <v>0</v>
          </cell>
          <cell r="P1258">
            <v>0</v>
          </cell>
          <cell r="Q1258">
            <v>0</v>
          </cell>
          <cell r="R1258">
            <v>0</v>
          </cell>
          <cell r="S1258">
            <v>0</v>
          </cell>
          <cell r="T1258">
            <v>0</v>
          </cell>
          <cell r="U1258">
            <v>0</v>
          </cell>
          <cell r="V1258">
            <v>-3450</v>
          </cell>
          <cell r="W1258">
            <v>0</v>
          </cell>
          <cell r="X1258">
            <v>0</v>
          </cell>
          <cell r="Y1258">
            <v>0</v>
          </cell>
          <cell r="Z1258">
            <v>0</v>
          </cell>
          <cell r="AA1258">
            <v>0</v>
          </cell>
          <cell r="AB1258">
            <v>0</v>
          </cell>
          <cell r="AC1258">
            <v>0</v>
          </cell>
          <cell r="AD1258">
            <v>0</v>
          </cell>
          <cell r="AE1258">
            <v>0</v>
          </cell>
          <cell r="AF1258">
            <v>0</v>
          </cell>
        </row>
        <row r="1259">
          <cell r="A1259">
            <v>2400015</v>
          </cell>
          <cell r="B1259" t="str">
            <v>2400015</v>
          </cell>
          <cell r="G1259" t="str">
            <v>NOKIA-6020 -BIREN</v>
          </cell>
        </row>
        <row r="1260">
          <cell r="A1260">
            <v>2400016</v>
          </cell>
          <cell r="B1260" t="str">
            <v>2400016</v>
          </cell>
          <cell r="G1260" t="str">
            <v>MOTOROLA -C-168</v>
          </cell>
          <cell r="H1260">
            <v>0</v>
          </cell>
          <cell r="K1260">
            <v>0</v>
          </cell>
          <cell r="L1260">
            <v>0</v>
          </cell>
          <cell r="M1260">
            <v>0</v>
          </cell>
          <cell r="N1260">
            <v>0</v>
          </cell>
          <cell r="O1260">
            <v>0</v>
          </cell>
          <cell r="P1260">
            <v>0</v>
          </cell>
          <cell r="Q1260">
            <v>0</v>
          </cell>
          <cell r="R1260">
            <v>0</v>
          </cell>
          <cell r="S1260">
            <v>0</v>
          </cell>
          <cell r="T1260">
            <v>0</v>
          </cell>
          <cell r="U1260">
            <v>0</v>
          </cell>
          <cell r="V1260">
            <v>-2850</v>
          </cell>
          <cell r="W1260">
            <v>0</v>
          </cell>
          <cell r="X1260">
            <v>0</v>
          </cell>
          <cell r="Y1260">
            <v>0</v>
          </cell>
          <cell r="Z1260">
            <v>0</v>
          </cell>
          <cell r="AA1260">
            <v>0</v>
          </cell>
          <cell r="AB1260">
            <v>2850</v>
          </cell>
          <cell r="AC1260">
            <v>0</v>
          </cell>
          <cell r="AD1260">
            <v>0</v>
          </cell>
          <cell r="AE1260">
            <v>0</v>
          </cell>
          <cell r="AF1260">
            <v>0</v>
          </cell>
        </row>
        <row r="1261">
          <cell r="A1261">
            <v>2400016</v>
          </cell>
          <cell r="H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2850</v>
          </cell>
          <cell r="AC1261">
            <v>0</v>
          </cell>
          <cell r="AD1261">
            <v>0</v>
          </cell>
          <cell r="AE1261">
            <v>0</v>
          </cell>
          <cell r="AF1261">
            <v>0</v>
          </cell>
        </row>
        <row r="1262">
          <cell r="A1262">
            <v>2400017</v>
          </cell>
          <cell r="B1262" t="str">
            <v>2400017</v>
          </cell>
          <cell r="G1262" t="str">
            <v>MOTOROLA -C-168</v>
          </cell>
          <cell r="H1262">
            <v>0</v>
          </cell>
          <cell r="K1262">
            <v>0</v>
          </cell>
          <cell r="L1262">
            <v>0</v>
          </cell>
          <cell r="M1262">
            <v>0</v>
          </cell>
          <cell r="N1262">
            <v>0</v>
          </cell>
          <cell r="O1262">
            <v>0</v>
          </cell>
          <cell r="P1262">
            <v>0</v>
          </cell>
          <cell r="Q1262">
            <v>0</v>
          </cell>
          <cell r="R1262">
            <v>0</v>
          </cell>
          <cell r="S1262">
            <v>0</v>
          </cell>
          <cell r="T1262">
            <v>0</v>
          </cell>
          <cell r="U1262">
            <v>0</v>
          </cell>
          <cell r="V1262">
            <v>-2850</v>
          </cell>
          <cell r="W1262">
            <v>0</v>
          </cell>
          <cell r="X1262">
            <v>0</v>
          </cell>
          <cell r="Y1262">
            <v>0</v>
          </cell>
          <cell r="Z1262">
            <v>0</v>
          </cell>
          <cell r="AA1262">
            <v>0</v>
          </cell>
          <cell r="AB1262">
            <v>2850</v>
          </cell>
          <cell r="AC1262">
            <v>0</v>
          </cell>
          <cell r="AD1262">
            <v>0</v>
          </cell>
          <cell r="AE1262">
            <v>0</v>
          </cell>
          <cell r="AF1262">
            <v>0</v>
          </cell>
        </row>
        <row r="1263">
          <cell r="A1263">
            <v>2400017</v>
          </cell>
          <cell r="H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2850</v>
          </cell>
          <cell r="AC1263">
            <v>0</v>
          </cell>
          <cell r="AD1263">
            <v>0</v>
          </cell>
          <cell r="AE1263">
            <v>0</v>
          </cell>
          <cell r="AF1263">
            <v>0</v>
          </cell>
        </row>
        <row r="1264">
          <cell r="A1264">
            <v>2400018</v>
          </cell>
          <cell r="B1264" t="str">
            <v>2400018</v>
          </cell>
          <cell r="G1264" t="str">
            <v>MOTOROLA -C-168</v>
          </cell>
          <cell r="H1264">
            <v>0</v>
          </cell>
          <cell r="K1264">
            <v>0</v>
          </cell>
          <cell r="L1264">
            <v>0</v>
          </cell>
          <cell r="M1264">
            <v>0</v>
          </cell>
          <cell r="N1264">
            <v>0</v>
          </cell>
          <cell r="O1264">
            <v>0</v>
          </cell>
          <cell r="P1264">
            <v>0</v>
          </cell>
          <cell r="Q1264">
            <v>0</v>
          </cell>
          <cell r="R1264">
            <v>0</v>
          </cell>
          <cell r="S1264">
            <v>0</v>
          </cell>
          <cell r="T1264">
            <v>0</v>
          </cell>
          <cell r="U1264">
            <v>0</v>
          </cell>
          <cell r="V1264">
            <v>-2850</v>
          </cell>
          <cell r="W1264">
            <v>0</v>
          </cell>
          <cell r="X1264">
            <v>0</v>
          </cell>
          <cell r="Y1264">
            <v>0</v>
          </cell>
          <cell r="Z1264">
            <v>0</v>
          </cell>
          <cell r="AA1264">
            <v>0</v>
          </cell>
          <cell r="AB1264">
            <v>2850</v>
          </cell>
          <cell r="AC1264">
            <v>0</v>
          </cell>
          <cell r="AD1264">
            <v>0</v>
          </cell>
          <cell r="AE1264">
            <v>0</v>
          </cell>
          <cell r="AF1264">
            <v>0</v>
          </cell>
        </row>
        <row r="1265">
          <cell r="A1265">
            <v>2400018</v>
          </cell>
          <cell r="H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v>0</v>
          </cell>
          <cell r="Z1265">
            <v>0</v>
          </cell>
          <cell r="AA1265">
            <v>0</v>
          </cell>
          <cell r="AB1265">
            <v>2850</v>
          </cell>
          <cell r="AC1265">
            <v>0</v>
          </cell>
          <cell r="AD1265">
            <v>0</v>
          </cell>
          <cell r="AE1265">
            <v>0</v>
          </cell>
          <cell r="AF1265">
            <v>0</v>
          </cell>
        </row>
        <row r="1266">
          <cell r="A1266">
            <v>2400019</v>
          </cell>
          <cell r="B1266" t="str">
            <v>2400019</v>
          </cell>
          <cell r="G1266" t="str">
            <v>MOTOROLA C-168</v>
          </cell>
          <cell r="H1266">
            <v>0</v>
          </cell>
          <cell r="K1266">
            <v>0</v>
          </cell>
          <cell r="L1266">
            <v>0</v>
          </cell>
          <cell r="M1266">
            <v>0</v>
          </cell>
          <cell r="N1266">
            <v>0</v>
          </cell>
          <cell r="O1266">
            <v>0</v>
          </cell>
          <cell r="P1266">
            <v>0</v>
          </cell>
          <cell r="Q1266">
            <v>0</v>
          </cell>
          <cell r="R1266">
            <v>0</v>
          </cell>
          <cell r="S1266">
            <v>0</v>
          </cell>
          <cell r="T1266">
            <v>0</v>
          </cell>
          <cell r="U1266">
            <v>0</v>
          </cell>
          <cell r="V1266">
            <v>-2850</v>
          </cell>
          <cell r="W1266">
            <v>0</v>
          </cell>
          <cell r="X1266">
            <v>0</v>
          </cell>
          <cell r="Y1266">
            <v>0</v>
          </cell>
          <cell r="Z1266">
            <v>0</v>
          </cell>
          <cell r="AA1266">
            <v>0</v>
          </cell>
          <cell r="AB1266">
            <v>2850</v>
          </cell>
          <cell r="AC1266">
            <v>0</v>
          </cell>
          <cell r="AD1266">
            <v>0</v>
          </cell>
          <cell r="AE1266">
            <v>0</v>
          </cell>
          <cell r="AF1266">
            <v>0</v>
          </cell>
        </row>
        <row r="1267">
          <cell r="A1267">
            <v>2400019</v>
          </cell>
          <cell r="H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2850</v>
          </cell>
          <cell r="AC1267">
            <v>0</v>
          </cell>
          <cell r="AD1267">
            <v>0</v>
          </cell>
          <cell r="AE1267">
            <v>0</v>
          </cell>
          <cell r="AF1267">
            <v>0</v>
          </cell>
        </row>
        <row r="1268">
          <cell r="A1268">
            <v>2400020</v>
          </cell>
          <cell r="B1268" t="str">
            <v>2400020</v>
          </cell>
          <cell r="G1268" t="str">
            <v>Nokia 1600( viral)</v>
          </cell>
          <cell r="H1268">
            <v>0</v>
          </cell>
          <cell r="K1268">
            <v>0</v>
          </cell>
          <cell r="L1268">
            <v>0</v>
          </cell>
          <cell r="M1268">
            <v>0</v>
          </cell>
          <cell r="N1268">
            <v>0</v>
          </cell>
          <cell r="O1268">
            <v>0</v>
          </cell>
          <cell r="P1268">
            <v>0</v>
          </cell>
          <cell r="Q1268">
            <v>0</v>
          </cell>
          <cell r="R1268">
            <v>0</v>
          </cell>
          <cell r="S1268">
            <v>0</v>
          </cell>
          <cell r="T1268">
            <v>0</v>
          </cell>
          <cell r="U1268">
            <v>0</v>
          </cell>
          <cell r="V1268">
            <v>-2700</v>
          </cell>
          <cell r="W1268">
            <v>0</v>
          </cell>
          <cell r="X1268">
            <v>0</v>
          </cell>
          <cell r="Y1268">
            <v>0</v>
          </cell>
          <cell r="Z1268">
            <v>0</v>
          </cell>
          <cell r="AA1268">
            <v>0</v>
          </cell>
          <cell r="AB1268">
            <v>2700</v>
          </cell>
          <cell r="AC1268">
            <v>0</v>
          </cell>
          <cell r="AD1268">
            <v>0</v>
          </cell>
          <cell r="AE1268">
            <v>0</v>
          </cell>
          <cell r="AF1268">
            <v>0</v>
          </cell>
        </row>
        <row r="1269">
          <cell r="A1269">
            <v>2400020</v>
          </cell>
          <cell r="H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2700</v>
          </cell>
          <cell r="AC1269">
            <v>0</v>
          </cell>
          <cell r="AD1269">
            <v>0</v>
          </cell>
          <cell r="AE1269">
            <v>0</v>
          </cell>
          <cell r="AF1269">
            <v>0</v>
          </cell>
        </row>
        <row r="1270">
          <cell r="A1270">
            <v>2400021</v>
          </cell>
          <cell r="B1270" t="str">
            <v>2400021</v>
          </cell>
          <cell r="G1270" t="str">
            <v>Nokia 1600( Niraj Vyas )</v>
          </cell>
          <cell r="H1270">
            <v>0</v>
          </cell>
          <cell r="K1270">
            <v>0</v>
          </cell>
          <cell r="L1270">
            <v>0</v>
          </cell>
          <cell r="M1270">
            <v>0</v>
          </cell>
          <cell r="N1270">
            <v>0</v>
          </cell>
          <cell r="O1270">
            <v>0</v>
          </cell>
          <cell r="P1270">
            <v>0</v>
          </cell>
          <cell r="Q1270">
            <v>0</v>
          </cell>
          <cell r="R1270">
            <v>0</v>
          </cell>
          <cell r="S1270">
            <v>0</v>
          </cell>
          <cell r="T1270">
            <v>0</v>
          </cell>
          <cell r="U1270">
            <v>0</v>
          </cell>
          <cell r="V1270">
            <v>-2550</v>
          </cell>
          <cell r="W1270">
            <v>0</v>
          </cell>
          <cell r="X1270">
            <v>0</v>
          </cell>
          <cell r="Y1270">
            <v>0</v>
          </cell>
          <cell r="Z1270">
            <v>0</v>
          </cell>
          <cell r="AA1270">
            <v>0</v>
          </cell>
          <cell r="AB1270">
            <v>2550</v>
          </cell>
          <cell r="AC1270">
            <v>0</v>
          </cell>
          <cell r="AD1270">
            <v>0</v>
          </cell>
          <cell r="AE1270">
            <v>0</v>
          </cell>
          <cell r="AF1270">
            <v>0</v>
          </cell>
        </row>
        <row r="1271">
          <cell r="A1271">
            <v>2400021</v>
          </cell>
          <cell r="H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v>0</v>
          </cell>
          <cell r="Z1271">
            <v>0</v>
          </cell>
          <cell r="AA1271">
            <v>0</v>
          </cell>
          <cell r="AB1271">
            <v>2550</v>
          </cell>
          <cell r="AC1271">
            <v>0</v>
          </cell>
          <cell r="AD1271">
            <v>0</v>
          </cell>
          <cell r="AE1271">
            <v>0</v>
          </cell>
          <cell r="AF1271">
            <v>0</v>
          </cell>
        </row>
        <row r="1272">
          <cell r="A1272">
            <v>3000000</v>
          </cell>
          <cell r="B1272" t="str">
            <v>3000000</v>
          </cell>
          <cell r="G1272" t="str">
            <v>Group Asset Furnitures &amp; Fixtures</v>
          </cell>
          <cell r="H1272">
            <v>1055099</v>
          </cell>
          <cell r="K1272">
            <v>0</v>
          </cell>
          <cell r="L1272">
            <v>0</v>
          </cell>
          <cell r="M1272">
            <v>0</v>
          </cell>
          <cell r="N1272">
            <v>0</v>
          </cell>
          <cell r="O1272">
            <v>0</v>
          </cell>
          <cell r="P1272">
            <v>0</v>
          </cell>
          <cell r="Q1272">
            <v>0</v>
          </cell>
          <cell r="R1272">
            <v>0</v>
          </cell>
          <cell r="S1272">
            <v>0</v>
          </cell>
          <cell r="T1272">
            <v>0</v>
          </cell>
          <cell r="U1272">
            <v>0</v>
          </cell>
          <cell r="V1272">
            <v>-713103.05</v>
          </cell>
          <cell r="W1272">
            <v>0</v>
          </cell>
          <cell r="X1272">
            <v>0</v>
          </cell>
          <cell r="Y1272">
            <v>0</v>
          </cell>
          <cell r="Z1272">
            <v>0</v>
          </cell>
          <cell r="AA1272">
            <v>0</v>
          </cell>
          <cell r="AB1272">
            <v>3698921.35</v>
          </cell>
          <cell r="AC1272">
            <v>0</v>
          </cell>
          <cell r="AD1272">
            <v>0</v>
          </cell>
          <cell r="AE1272">
            <v>0</v>
          </cell>
          <cell r="AF1272">
            <v>0</v>
          </cell>
        </row>
        <row r="1273">
          <cell r="A1273">
            <v>3000000</v>
          </cell>
          <cell r="H1273">
            <v>4754020.3499999996</v>
          </cell>
          <cell r="K1273">
            <v>0</v>
          </cell>
          <cell r="L1273">
            <v>0</v>
          </cell>
          <cell r="M1273">
            <v>-713103.05</v>
          </cell>
          <cell r="N1273">
            <v>0</v>
          </cell>
          <cell r="O1273">
            <v>0</v>
          </cell>
          <cell r="P1273">
            <v>0</v>
          </cell>
          <cell r="Q1273">
            <v>0</v>
          </cell>
          <cell r="R1273">
            <v>0</v>
          </cell>
          <cell r="S1273">
            <v>0</v>
          </cell>
          <cell r="T1273">
            <v>0</v>
          </cell>
          <cell r="U1273">
            <v>0</v>
          </cell>
          <cell r="V1273">
            <v>-608889.5</v>
          </cell>
          <cell r="W1273">
            <v>0</v>
          </cell>
          <cell r="X1273">
            <v>0</v>
          </cell>
          <cell r="Y1273">
            <v>0</v>
          </cell>
          <cell r="Z1273">
            <v>0</v>
          </cell>
          <cell r="AA1273">
            <v>0</v>
          </cell>
          <cell r="AB1273">
            <v>27466</v>
          </cell>
          <cell r="AC1273">
            <v>0</v>
          </cell>
          <cell r="AD1273">
            <v>0</v>
          </cell>
          <cell r="AE1273">
            <v>0</v>
          </cell>
          <cell r="AF1273">
            <v>0</v>
          </cell>
        </row>
        <row r="1274">
          <cell r="A1274">
            <v>3100000</v>
          </cell>
          <cell r="B1274" t="str">
            <v>3100000</v>
          </cell>
          <cell r="G1274" t="str">
            <v>Group Asset Computers</v>
          </cell>
          <cell r="H1274">
            <v>353394</v>
          </cell>
          <cell r="K1274">
            <v>0</v>
          </cell>
          <cell r="L1274">
            <v>0</v>
          </cell>
          <cell r="M1274">
            <v>0</v>
          </cell>
          <cell r="N1274">
            <v>0</v>
          </cell>
          <cell r="O1274">
            <v>0</v>
          </cell>
          <cell r="P1274">
            <v>0</v>
          </cell>
          <cell r="Q1274">
            <v>0</v>
          </cell>
          <cell r="R1274">
            <v>0</v>
          </cell>
          <cell r="S1274">
            <v>0</v>
          </cell>
          <cell r="T1274">
            <v>0</v>
          </cell>
          <cell r="U1274">
            <v>0</v>
          </cell>
          <cell r="V1274">
            <v>-846558.6</v>
          </cell>
          <cell r="W1274">
            <v>0</v>
          </cell>
          <cell r="X1274">
            <v>0</v>
          </cell>
          <cell r="Y1274">
            <v>0</v>
          </cell>
          <cell r="Z1274">
            <v>0</v>
          </cell>
          <cell r="AA1274">
            <v>0</v>
          </cell>
          <cell r="AB1274">
            <v>1194224</v>
          </cell>
          <cell r="AC1274">
            <v>0</v>
          </cell>
          <cell r="AD1274">
            <v>0</v>
          </cell>
          <cell r="AE1274">
            <v>0</v>
          </cell>
          <cell r="AF1274">
            <v>0</v>
          </cell>
        </row>
        <row r="1275">
          <cell r="A1275">
            <v>3100000</v>
          </cell>
          <cell r="H1275">
            <v>1547618</v>
          </cell>
          <cell r="K1275">
            <v>0</v>
          </cell>
          <cell r="L1275">
            <v>0</v>
          </cell>
          <cell r="M1275">
            <v>-846558.6</v>
          </cell>
          <cell r="N1275">
            <v>0</v>
          </cell>
          <cell r="O1275">
            <v>0</v>
          </cell>
          <cell r="P1275">
            <v>0</v>
          </cell>
          <cell r="Q1275">
            <v>0</v>
          </cell>
          <cell r="R1275">
            <v>0</v>
          </cell>
          <cell r="S1275">
            <v>0</v>
          </cell>
          <cell r="T1275">
            <v>0</v>
          </cell>
          <cell r="U1275">
            <v>0</v>
          </cell>
          <cell r="V1275">
            <v>-614193.84</v>
          </cell>
          <cell r="W1275">
            <v>0</v>
          </cell>
          <cell r="X1275">
            <v>0</v>
          </cell>
          <cell r="Y1275">
            <v>0</v>
          </cell>
          <cell r="Z1275">
            <v>0</v>
          </cell>
          <cell r="AA1275">
            <v>0</v>
          </cell>
          <cell r="AB1275">
            <v>461015</v>
          </cell>
          <cell r="AC1275">
            <v>0</v>
          </cell>
          <cell r="AD1275">
            <v>0</v>
          </cell>
          <cell r="AE1275">
            <v>0</v>
          </cell>
          <cell r="AF1275">
            <v>0</v>
          </cell>
        </row>
        <row r="1276">
          <cell r="A1276">
            <v>3200000</v>
          </cell>
          <cell r="B1276" t="str">
            <v>3200000</v>
          </cell>
          <cell r="G1276" t="str">
            <v>Group Asset  Plant &amp; Machinery</v>
          </cell>
          <cell r="H1276">
            <v>1307781</v>
          </cell>
          <cell r="K1276">
            <v>0</v>
          </cell>
          <cell r="L1276">
            <v>0</v>
          </cell>
          <cell r="M1276">
            <v>0</v>
          </cell>
          <cell r="N1276">
            <v>0</v>
          </cell>
          <cell r="O1276">
            <v>0</v>
          </cell>
          <cell r="P1276">
            <v>0</v>
          </cell>
          <cell r="Q1276">
            <v>0</v>
          </cell>
          <cell r="R1276">
            <v>0</v>
          </cell>
          <cell r="S1276">
            <v>0</v>
          </cell>
          <cell r="T1276">
            <v>0</v>
          </cell>
          <cell r="U1276">
            <v>0</v>
          </cell>
          <cell r="V1276">
            <v>-562582</v>
          </cell>
          <cell r="W1276">
            <v>0</v>
          </cell>
          <cell r="X1276">
            <v>0</v>
          </cell>
          <cell r="Y1276">
            <v>0</v>
          </cell>
          <cell r="Z1276">
            <v>0</v>
          </cell>
          <cell r="AA1276">
            <v>0</v>
          </cell>
          <cell r="AB1276">
            <v>1163799</v>
          </cell>
          <cell r="AC1276">
            <v>0</v>
          </cell>
          <cell r="AD1276">
            <v>0</v>
          </cell>
          <cell r="AE1276">
            <v>0</v>
          </cell>
          <cell r="AF1276">
            <v>0</v>
          </cell>
        </row>
        <row r="1277">
          <cell r="A1277">
            <v>3200000</v>
          </cell>
          <cell r="H1277">
            <v>2471580</v>
          </cell>
          <cell r="K1277">
            <v>0</v>
          </cell>
          <cell r="L1277">
            <v>0</v>
          </cell>
          <cell r="M1277">
            <v>-562582</v>
          </cell>
          <cell r="N1277">
            <v>0</v>
          </cell>
          <cell r="O1277">
            <v>0</v>
          </cell>
          <cell r="P1277">
            <v>0</v>
          </cell>
          <cell r="Q1277">
            <v>0</v>
          </cell>
          <cell r="R1277">
            <v>0</v>
          </cell>
          <cell r="S1277">
            <v>0</v>
          </cell>
          <cell r="T1277">
            <v>0</v>
          </cell>
          <cell r="U1277">
            <v>0</v>
          </cell>
          <cell r="V1277">
            <v>-836661.16</v>
          </cell>
          <cell r="W1277">
            <v>0</v>
          </cell>
          <cell r="X1277">
            <v>0</v>
          </cell>
          <cell r="Y1277">
            <v>0</v>
          </cell>
          <cell r="Z1277">
            <v>0</v>
          </cell>
          <cell r="AA1277">
            <v>0</v>
          </cell>
          <cell r="AB1277">
            <v>1847556.21</v>
          </cell>
          <cell r="AC1277">
            <v>0</v>
          </cell>
          <cell r="AD1277">
            <v>0</v>
          </cell>
          <cell r="AE1277">
            <v>0</v>
          </cell>
          <cell r="AF1277">
            <v>0</v>
          </cell>
        </row>
        <row r="1278">
          <cell r="A1278">
            <v>3200001</v>
          </cell>
          <cell r="B1278" t="str">
            <v>3200001</v>
          </cell>
          <cell r="G1278" t="str">
            <v>COMMUNICATION EQUIP.</v>
          </cell>
          <cell r="H1278">
            <v>5670</v>
          </cell>
          <cell r="K1278">
            <v>0</v>
          </cell>
          <cell r="L1278">
            <v>0</v>
          </cell>
          <cell r="M1278">
            <v>-1847.24</v>
          </cell>
          <cell r="N1278">
            <v>0</v>
          </cell>
          <cell r="O1278">
            <v>0</v>
          </cell>
          <cell r="P1278">
            <v>0</v>
          </cell>
          <cell r="Q1278">
            <v>0</v>
          </cell>
          <cell r="R1278">
            <v>0</v>
          </cell>
          <cell r="S1278">
            <v>0</v>
          </cell>
          <cell r="T1278">
            <v>0</v>
          </cell>
          <cell r="U1278">
            <v>0</v>
          </cell>
          <cell r="V1278">
            <v>-531.75</v>
          </cell>
          <cell r="W1278">
            <v>0</v>
          </cell>
          <cell r="X1278">
            <v>0</v>
          </cell>
          <cell r="Y1278">
            <v>0</v>
          </cell>
          <cell r="Z1278">
            <v>0</v>
          </cell>
          <cell r="AA1278">
            <v>0</v>
          </cell>
          <cell r="AB1278">
            <v>0</v>
          </cell>
          <cell r="AC1278">
            <v>0</v>
          </cell>
          <cell r="AD1278">
            <v>0</v>
          </cell>
          <cell r="AE1278">
            <v>0</v>
          </cell>
          <cell r="AF1278">
            <v>0</v>
          </cell>
        </row>
        <row r="1279">
          <cell r="A1279">
            <v>3200001</v>
          </cell>
          <cell r="H1279">
            <v>5670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cell r="AD1279">
            <v>0</v>
          </cell>
          <cell r="AE1279">
            <v>0</v>
          </cell>
          <cell r="AF1279">
            <v>0</v>
          </cell>
        </row>
        <row r="1280">
          <cell r="A1280">
            <v>3200001</v>
          </cell>
          <cell r="H1280">
            <v>5670</v>
          </cell>
          <cell r="K1280">
            <v>0</v>
          </cell>
          <cell r="L1280">
            <v>0</v>
          </cell>
          <cell r="M1280">
            <v>-2378.9899999999998</v>
          </cell>
          <cell r="N1280">
            <v>0</v>
          </cell>
          <cell r="O1280">
            <v>0</v>
          </cell>
          <cell r="P1280">
            <v>0</v>
          </cell>
          <cell r="Q1280">
            <v>0</v>
          </cell>
          <cell r="R1280">
            <v>0</v>
          </cell>
          <cell r="S1280">
            <v>0</v>
          </cell>
          <cell r="T1280">
            <v>0</v>
          </cell>
          <cell r="U1280">
            <v>0</v>
          </cell>
          <cell r="V1280">
            <v>-457.78</v>
          </cell>
          <cell r="W1280">
            <v>0</v>
          </cell>
          <cell r="X1280">
            <v>0</v>
          </cell>
          <cell r="Y1280">
            <v>0</v>
          </cell>
          <cell r="Z1280">
            <v>0</v>
          </cell>
          <cell r="AA1280">
            <v>0</v>
          </cell>
          <cell r="AB1280">
            <v>0</v>
          </cell>
          <cell r="AC1280">
            <v>0</v>
          </cell>
          <cell r="AD1280">
            <v>0</v>
          </cell>
          <cell r="AE1280">
            <v>0</v>
          </cell>
          <cell r="AF1280">
            <v>0</v>
          </cell>
        </row>
        <row r="1281">
          <cell r="A1281">
            <v>3200001</v>
          </cell>
          <cell r="H1281">
            <v>5670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v>0</v>
          </cell>
          <cell r="Z1281">
            <v>0</v>
          </cell>
          <cell r="AA1281">
            <v>0</v>
          </cell>
          <cell r="AB1281">
            <v>0</v>
          </cell>
          <cell r="AC1281">
            <v>0</v>
          </cell>
          <cell r="AD1281">
            <v>0</v>
          </cell>
          <cell r="AE1281">
            <v>0</v>
          </cell>
          <cell r="AF1281">
            <v>0</v>
          </cell>
        </row>
        <row r="1282">
          <cell r="A1282">
            <v>3200002</v>
          </cell>
          <cell r="B1282" t="str">
            <v>3200002</v>
          </cell>
          <cell r="G1282" t="str">
            <v>MOBILE PHONE</v>
          </cell>
          <cell r="H1282">
            <v>8900</v>
          </cell>
          <cell r="K1282">
            <v>0</v>
          </cell>
          <cell r="L1282">
            <v>0</v>
          </cell>
          <cell r="M1282">
            <v>-2801.51</v>
          </cell>
          <cell r="N1282">
            <v>0</v>
          </cell>
          <cell r="O1282">
            <v>0</v>
          </cell>
          <cell r="P1282">
            <v>0</v>
          </cell>
          <cell r="Q1282">
            <v>0</v>
          </cell>
          <cell r="R1282">
            <v>0</v>
          </cell>
          <cell r="S1282">
            <v>0</v>
          </cell>
          <cell r="T1282">
            <v>0</v>
          </cell>
          <cell r="U1282">
            <v>0</v>
          </cell>
          <cell r="V1282">
            <v>-848.3</v>
          </cell>
          <cell r="W1282">
            <v>0</v>
          </cell>
          <cell r="X1282">
            <v>0</v>
          </cell>
          <cell r="Y1282">
            <v>0</v>
          </cell>
          <cell r="Z1282">
            <v>0</v>
          </cell>
          <cell r="AA1282">
            <v>0</v>
          </cell>
          <cell r="AB1282">
            <v>0</v>
          </cell>
          <cell r="AC1282">
            <v>0</v>
          </cell>
          <cell r="AD1282">
            <v>0</v>
          </cell>
          <cell r="AE1282">
            <v>0</v>
          </cell>
          <cell r="AF1282">
            <v>0</v>
          </cell>
        </row>
        <row r="1283">
          <cell r="A1283">
            <v>3200002</v>
          </cell>
          <cell r="H1283">
            <v>8900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cell r="AE1283">
            <v>0</v>
          </cell>
          <cell r="AF1283">
            <v>0</v>
          </cell>
        </row>
        <row r="1284">
          <cell r="A1284">
            <v>3200002</v>
          </cell>
          <cell r="H1284">
            <v>8900</v>
          </cell>
          <cell r="K1284">
            <v>0</v>
          </cell>
          <cell r="L1284">
            <v>0</v>
          </cell>
          <cell r="M1284">
            <v>-3649.81</v>
          </cell>
          <cell r="N1284">
            <v>0</v>
          </cell>
          <cell r="O1284">
            <v>0</v>
          </cell>
          <cell r="P1284">
            <v>0</v>
          </cell>
          <cell r="Q1284">
            <v>0</v>
          </cell>
          <cell r="R1284">
            <v>0</v>
          </cell>
          <cell r="S1284">
            <v>0</v>
          </cell>
          <cell r="T1284">
            <v>0</v>
          </cell>
          <cell r="U1284">
            <v>0</v>
          </cell>
          <cell r="V1284">
            <v>-730.3</v>
          </cell>
          <cell r="W1284">
            <v>0</v>
          </cell>
          <cell r="X1284">
            <v>0</v>
          </cell>
          <cell r="Y1284">
            <v>0</v>
          </cell>
          <cell r="Z1284">
            <v>0</v>
          </cell>
          <cell r="AA1284">
            <v>0</v>
          </cell>
          <cell r="AB1284">
            <v>0</v>
          </cell>
          <cell r="AC1284">
            <v>0</v>
          </cell>
          <cell r="AD1284">
            <v>0</v>
          </cell>
          <cell r="AE1284">
            <v>0</v>
          </cell>
          <cell r="AF1284">
            <v>0</v>
          </cell>
        </row>
        <row r="1285">
          <cell r="A1285">
            <v>3200002</v>
          </cell>
          <cell r="H1285">
            <v>8900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cell r="AE1285">
            <v>0</v>
          </cell>
          <cell r="AF1285">
            <v>0</v>
          </cell>
        </row>
        <row r="1286">
          <cell r="A1286">
            <v>3200003</v>
          </cell>
          <cell r="B1286" t="str">
            <v>3200003</v>
          </cell>
          <cell r="G1286" t="str">
            <v>MOBILE PHONE -Sr.Mgr. IT</v>
          </cell>
          <cell r="H1286">
            <v>15000</v>
          </cell>
          <cell r="K1286">
            <v>0</v>
          </cell>
          <cell r="L1286">
            <v>0</v>
          </cell>
          <cell r="M1286">
            <v>-4103.08</v>
          </cell>
          <cell r="N1286">
            <v>0</v>
          </cell>
          <cell r="O1286">
            <v>0</v>
          </cell>
          <cell r="P1286">
            <v>0</v>
          </cell>
          <cell r="Q1286">
            <v>0</v>
          </cell>
          <cell r="R1286">
            <v>0</v>
          </cell>
          <cell r="S1286">
            <v>0</v>
          </cell>
          <cell r="T1286">
            <v>0</v>
          </cell>
          <cell r="U1286">
            <v>0</v>
          </cell>
          <cell r="V1286">
            <v>-1515.76</v>
          </cell>
          <cell r="W1286">
            <v>0</v>
          </cell>
          <cell r="X1286">
            <v>0</v>
          </cell>
          <cell r="Y1286">
            <v>0</v>
          </cell>
          <cell r="Z1286">
            <v>0</v>
          </cell>
          <cell r="AA1286">
            <v>0</v>
          </cell>
          <cell r="AB1286">
            <v>0</v>
          </cell>
          <cell r="AC1286">
            <v>0</v>
          </cell>
          <cell r="AD1286">
            <v>0</v>
          </cell>
          <cell r="AE1286">
            <v>0</v>
          </cell>
          <cell r="AF1286">
            <v>0</v>
          </cell>
        </row>
        <row r="1287">
          <cell r="A1287">
            <v>3200003</v>
          </cell>
          <cell r="H1287">
            <v>15000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cell r="AD1287">
            <v>0</v>
          </cell>
          <cell r="AE1287">
            <v>0</v>
          </cell>
          <cell r="AF1287">
            <v>0</v>
          </cell>
        </row>
        <row r="1288">
          <cell r="A1288">
            <v>3200003</v>
          </cell>
          <cell r="H1288">
            <v>15000</v>
          </cell>
          <cell r="K1288">
            <v>0</v>
          </cell>
          <cell r="L1288">
            <v>0</v>
          </cell>
          <cell r="M1288">
            <v>-5618.84</v>
          </cell>
          <cell r="N1288">
            <v>0</v>
          </cell>
          <cell r="O1288">
            <v>0</v>
          </cell>
          <cell r="P1288">
            <v>0</v>
          </cell>
          <cell r="Q1288">
            <v>0</v>
          </cell>
          <cell r="R1288">
            <v>0</v>
          </cell>
          <cell r="S1288">
            <v>0</v>
          </cell>
          <cell r="T1288">
            <v>0</v>
          </cell>
          <cell r="U1288">
            <v>0</v>
          </cell>
          <cell r="V1288">
            <v>-1304.92</v>
          </cell>
          <cell r="W1288">
            <v>0</v>
          </cell>
          <cell r="X1288">
            <v>0</v>
          </cell>
          <cell r="Y1288">
            <v>0</v>
          </cell>
          <cell r="Z1288">
            <v>0</v>
          </cell>
          <cell r="AA1288">
            <v>0</v>
          </cell>
          <cell r="AB1288">
            <v>0</v>
          </cell>
          <cell r="AC1288">
            <v>0</v>
          </cell>
          <cell r="AD1288">
            <v>0</v>
          </cell>
          <cell r="AE1288">
            <v>0</v>
          </cell>
          <cell r="AF1288">
            <v>0</v>
          </cell>
        </row>
        <row r="1289">
          <cell r="A1289">
            <v>3200003</v>
          </cell>
          <cell r="H1289">
            <v>15000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cell r="AD1289">
            <v>0</v>
          </cell>
          <cell r="AE1289">
            <v>0</v>
          </cell>
          <cell r="AF1289">
            <v>0</v>
          </cell>
        </row>
        <row r="1290">
          <cell r="A1290">
            <v>3200004</v>
          </cell>
          <cell r="B1290" t="str">
            <v>3200004</v>
          </cell>
          <cell r="G1290" t="str">
            <v>EPBX - GNFC</v>
          </cell>
          <cell r="H1290">
            <v>71900</v>
          </cell>
          <cell r="K1290">
            <v>0</v>
          </cell>
          <cell r="L1290">
            <v>0</v>
          </cell>
          <cell r="M1290">
            <v>-29450.84</v>
          </cell>
          <cell r="N1290">
            <v>0</v>
          </cell>
          <cell r="O1290">
            <v>0</v>
          </cell>
          <cell r="P1290">
            <v>0</v>
          </cell>
          <cell r="Q1290">
            <v>0</v>
          </cell>
          <cell r="R1290">
            <v>0</v>
          </cell>
          <cell r="S1290">
            <v>0</v>
          </cell>
          <cell r="T1290">
            <v>0</v>
          </cell>
          <cell r="U1290">
            <v>0</v>
          </cell>
          <cell r="V1290">
            <v>-5904.68</v>
          </cell>
          <cell r="W1290">
            <v>0</v>
          </cell>
          <cell r="X1290">
            <v>0</v>
          </cell>
          <cell r="Y1290">
            <v>0</v>
          </cell>
          <cell r="Z1290">
            <v>0</v>
          </cell>
          <cell r="AA1290">
            <v>0</v>
          </cell>
          <cell r="AB1290">
            <v>0</v>
          </cell>
          <cell r="AC1290">
            <v>0</v>
          </cell>
          <cell r="AD1290">
            <v>0</v>
          </cell>
          <cell r="AE1290">
            <v>0</v>
          </cell>
          <cell r="AF1290">
            <v>0</v>
          </cell>
        </row>
        <row r="1291">
          <cell r="A1291">
            <v>3200004</v>
          </cell>
          <cell r="H1291">
            <v>71900</v>
          </cell>
          <cell r="K1291">
            <v>0</v>
          </cell>
          <cell r="L1291">
            <v>0</v>
          </cell>
          <cell r="M1291">
            <v>0</v>
          </cell>
          <cell r="N1291">
            <v>0</v>
          </cell>
          <cell r="O1291">
            <v>0</v>
          </cell>
          <cell r="P1291">
            <v>0</v>
          </cell>
          <cell r="Q1291">
            <v>0</v>
          </cell>
          <cell r="R1291">
            <v>0</v>
          </cell>
          <cell r="S1291">
            <v>0</v>
          </cell>
          <cell r="T1291">
            <v>0</v>
          </cell>
          <cell r="U1291">
            <v>0</v>
          </cell>
          <cell r="V1291">
            <v>0</v>
          </cell>
          <cell r="W1291">
            <v>0</v>
          </cell>
          <cell r="X1291">
            <v>0</v>
          </cell>
          <cell r="Y1291">
            <v>0</v>
          </cell>
          <cell r="Z1291">
            <v>0</v>
          </cell>
          <cell r="AA1291">
            <v>0</v>
          </cell>
          <cell r="AB1291">
            <v>0</v>
          </cell>
          <cell r="AC1291">
            <v>0</v>
          </cell>
          <cell r="AD1291">
            <v>0</v>
          </cell>
          <cell r="AE1291">
            <v>0</v>
          </cell>
          <cell r="AF1291">
            <v>0</v>
          </cell>
        </row>
        <row r="1292">
          <cell r="A1292">
            <v>3200004</v>
          </cell>
          <cell r="H1292">
            <v>71900</v>
          </cell>
          <cell r="K1292">
            <v>0</v>
          </cell>
          <cell r="L1292">
            <v>0</v>
          </cell>
          <cell r="M1292">
            <v>-35355.519999999997</v>
          </cell>
          <cell r="N1292">
            <v>0</v>
          </cell>
          <cell r="O1292">
            <v>0</v>
          </cell>
          <cell r="P1292">
            <v>0</v>
          </cell>
          <cell r="Q1292">
            <v>0</v>
          </cell>
          <cell r="R1292">
            <v>0</v>
          </cell>
          <cell r="S1292">
            <v>0</v>
          </cell>
          <cell r="T1292">
            <v>0</v>
          </cell>
          <cell r="U1292">
            <v>0</v>
          </cell>
          <cell r="V1292">
            <v>-5083.34</v>
          </cell>
          <cell r="W1292">
            <v>0</v>
          </cell>
          <cell r="X1292">
            <v>0</v>
          </cell>
          <cell r="Y1292">
            <v>0</v>
          </cell>
          <cell r="Z1292">
            <v>0</v>
          </cell>
          <cell r="AA1292">
            <v>0</v>
          </cell>
          <cell r="AB1292">
            <v>0</v>
          </cell>
          <cell r="AC1292">
            <v>0</v>
          </cell>
          <cell r="AD1292">
            <v>0</v>
          </cell>
          <cell r="AE1292">
            <v>0</v>
          </cell>
          <cell r="AF1292">
            <v>0</v>
          </cell>
        </row>
        <row r="1293">
          <cell r="A1293">
            <v>3200004</v>
          </cell>
          <cell r="H1293">
            <v>71900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cell r="AB1293">
            <v>0</v>
          </cell>
          <cell r="AC1293">
            <v>0</v>
          </cell>
          <cell r="AD1293">
            <v>0</v>
          </cell>
          <cell r="AE1293">
            <v>0</v>
          </cell>
          <cell r="AF1293">
            <v>0</v>
          </cell>
        </row>
        <row r="1294">
          <cell r="A1294">
            <v>3200005</v>
          </cell>
          <cell r="B1294" t="str">
            <v>3200005</v>
          </cell>
          <cell r="G1294" t="str">
            <v>FAX MACHINE</v>
          </cell>
          <cell r="H1294">
            <v>16625</v>
          </cell>
          <cell r="K1294">
            <v>0</v>
          </cell>
          <cell r="L1294">
            <v>0</v>
          </cell>
          <cell r="M1294">
            <v>-6777.26</v>
          </cell>
          <cell r="N1294">
            <v>0</v>
          </cell>
          <cell r="O1294">
            <v>0</v>
          </cell>
          <cell r="P1294">
            <v>0</v>
          </cell>
          <cell r="Q1294">
            <v>0</v>
          </cell>
          <cell r="R1294">
            <v>0</v>
          </cell>
          <cell r="S1294">
            <v>0</v>
          </cell>
          <cell r="T1294">
            <v>0</v>
          </cell>
          <cell r="U1294">
            <v>0</v>
          </cell>
          <cell r="V1294">
            <v>-1369.82</v>
          </cell>
          <cell r="W1294">
            <v>0</v>
          </cell>
          <cell r="X1294">
            <v>0</v>
          </cell>
          <cell r="Y1294">
            <v>0</v>
          </cell>
          <cell r="Z1294">
            <v>0</v>
          </cell>
          <cell r="AA1294">
            <v>0</v>
          </cell>
          <cell r="AB1294">
            <v>0</v>
          </cell>
          <cell r="AC1294">
            <v>0</v>
          </cell>
          <cell r="AD1294">
            <v>0</v>
          </cell>
          <cell r="AE1294">
            <v>0</v>
          </cell>
          <cell r="AF1294">
            <v>0</v>
          </cell>
        </row>
        <row r="1295">
          <cell r="A1295">
            <v>3200005</v>
          </cell>
          <cell r="H1295">
            <v>16625</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cell r="AD1295">
            <v>0</v>
          </cell>
          <cell r="AE1295">
            <v>0</v>
          </cell>
          <cell r="AF1295">
            <v>0</v>
          </cell>
        </row>
        <row r="1296">
          <cell r="A1296">
            <v>3200005</v>
          </cell>
          <cell r="H1296">
            <v>16625</v>
          </cell>
          <cell r="K1296">
            <v>0</v>
          </cell>
          <cell r="L1296">
            <v>0</v>
          </cell>
          <cell r="M1296">
            <v>-8147.08</v>
          </cell>
          <cell r="N1296">
            <v>0</v>
          </cell>
          <cell r="O1296">
            <v>0</v>
          </cell>
          <cell r="P1296">
            <v>0</v>
          </cell>
          <cell r="Q1296">
            <v>0</v>
          </cell>
          <cell r="R1296">
            <v>0</v>
          </cell>
          <cell r="S1296">
            <v>0</v>
          </cell>
          <cell r="T1296">
            <v>0</v>
          </cell>
          <cell r="U1296">
            <v>0</v>
          </cell>
          <cell r="V1296">
            <v>-1179.28</v>
          </cell>
          <cell r="W1296">
            <v>0</v>
          </cell>
          <cell r="X1296">
            <v>0</v>
          </cell>
          <cell r="Y1296">
            <v>0</v>
          </cell>
          <cell r="Z1296">
            <v>0</v>
          </cell>
          <cell r="AA1296">
            <v>0</v>
          </cell>
          <cell r="AB1296">
            <v>0</v>
          </cell>
          <cell r="AC1296">
            <v>0</v>
          </cell>
          <cell r="AD1296">
            <v>0</v>
          </cell>
          <cell r="AE1296">
            <v>0</v>
          </cell>
          <cell r="AF1296">
            <v>0</v>
          </cell>
        </row>
        <row r="1297">
          <cell r="A1297">
            <v>3200005</v>
          </cell>
          <cell r="H1297">
            <v>16625</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cell r="AD1297">
            <v>0</v>
          </cell>
          <cell r="AE1297">
            <v>0</v>
          </cell>
          <cell r="AF1297">
            <v>0</v>
          </cell>
        </row>
        <row r="1298">
          <cell r="A1298">
            <v>3200006</v>
          </cell>
          <cell r="B1298" t="str">
            <v>3200006</v>
          </cell>
          <cell r="G1298" t="str">
            <v>RELIENCE MOBILE (5)</v>
          </cell>
          <cell r="H1298">
            <v>110000</v>
          </cell>
          <cell r="K1298">
            <v>0</v>
          </cell>
          <cell r="L1298">
            <v>0</v>
          </cell>
          <cell r="M1298">
            <v>-25046.14</v>
          </cell>
          <cell r="N1298">
            <v>0</v>
          </cell>
          <cell r="O1298">
            <v>0</v>
          </cell>
          <cell r="P1298">
            <v>0</v>
          </cell>
          <cell r="Q1298">
            <v>0</v>
          </cell>
          <cell r="R1298">
            <v>0</v>
          </cell>
          <cell r="S1298">
            <v>0</v>
          </cell>
          <cell r="T1298">
            <v>0</v>
          </cell>
          <cell r="U1298">
            <v>0</v>
          </cell>
          <cell r="V1298">
            <v>-11817.08</v>
          </cell>
          <cell r="W1298">
            <v>0</v>
          </cell>
          <cell r="X1298">
            <v>0</v>
          </cell>
          <cell r="Y1298">
            <v>0</v>
          </cell>
          <cell r="Z1298">
            <v>0</v>
          </cell>
          <cell r="AA1298">
            <v>0</v>
          </cell>
          <cell r="AB1298">
            <v>0</v>
          </cell>
          <cell r="AC1298">
            <v>0</v>
          </cell>
          <cell r="AD1298">
            <v>0</v>
          </cell>
          <cell r="AE1298">
            <v>0</v>
          </cell>
          <cell r="AF1298">
            <v>0</v>
          </cell>
        </row>
        <row r="1299">
          <cell r="A1299">
            <v>3200006</v>
          </cell>
          <cell r="H1299">
            <v>110000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cell r="AE1299">
            <v>0</v>
          </cell>
          <cell r="AF1299">
            <v>0</v>
          </cell>
        </row>
        <row r="1300">
          <cell r="A1300">
            <v>3200006</v>
          </cell>
          <cell r="H1300">
            <v>110000</v>
          </cell>
          <cell r="K1300">
            <v>0</v>
          </cell>
          <cell r="L1300">
            <v>0</v>
          </cell>
          <cell r="M1300">
            <v>-36863.22</v>
          </cell>
          <cell r="N1300">
            <v>0</v>
          </cell>
          <cell r="O1300">
            <v>0</v>
          </cell>
          <cell r="P1300">
            <v>0</v>
          </cell>
          <cell r="Q1300">
            <v>0</v>
          </cell>
          <cell r="R1300">
            <v>0</v>
          </cell>
          <cell r="S1300">
            <v>0</v>
          </cell>
          <cell r="T1300">
            <v>0</v>
          </cell>
          <cell r="U1300">
            <v>0</v>
          </cell>
          <cell r="V1300">
            <v>-10173.33</v>
          </cell>
          <cell r="W1300">
            <v>0</v>
          </cell>
          <cell r="X1300">
            <v>0</v>
          </cell>
          <cell r="Y1300">
            <v>0</v>
          </cell>
          <cell r="Z1300">
            <v>0</v>
          </cell>
          <cell r="AA1300">
            <v>0</v>
          </cell>
          <cell r="AB1300">
            <v>0</v>
          </cell>
          <cell r="AC1300">
            <v>0</v>
          </cell>
          <cell r="AD1300">
            <v>0</v>
          </cell>
          <cell r="AE1300">
            <v>0</v>
          </cell>
          <cell r="AF1300">
            <v>0</v>
          </cell>
        </row>
        <row r="1301">
          <cell r="A1301">
            <v>3200006</v>
          </cell>
          <cell r="H1301">
            <v>110000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v>0</v>
          </cell>
          <cell r="Z1301">
            <v>0</v>
          </cell>
          <cell r="AA1301">
            <v>0</v>
          </cell>
          <cell r="AB1301">
            <v>0</v>
          </cell>
          <cell r="AC1301">
            <v>0</v>
          </cell>
          <cell r="AD1301">
            <v>0</v>
          </cell>
          <cell r="AE1301">
            <v>0</v>
          </cell>
          <cell r="AF1301">
            <v>0</v>
          </cell>
        </row>
        <row r="1302">
          <cell r="A1302">
            <v>3200007</v>
          </cell>
          <cell r="B1302" t="str">
            <v>3200007</v>
          </cell>
          <cell r="G1302" t="str">
            <v>RELIENCE MOBILE (3)</v>
          </cell>
          <cell r="H1302">
            <v>63000</v>
          </cell>
          <cell r="K1302">
            <v>0</v>
          </cell>
          <cell r="L1302">
            <v>0</v>
          </cell>
          <cell r="M1302">
            <v>-12401.11</v>
          </cell>
          <cell r="N1302">
            <v>0</v>
          </cell>
          <cell r="O1302">
            <v>0</v>
          </cell>
          <cell r="P1302">
            <v>0</v>
          </cell>
          <cell r="Q1302">
            <v>0</v>
          </cell>
          <cell r="R1302">
            <v>0</v>
          </cell>
          <cell r="S1302">
            <v>0</v>
          </cell>
          <cell r="T1302">
            <v>0</v>
          </cell>
          <cell r="U1302">
            <v>0</v>
          </cell>
          <cell r="V1302">
            <v>-7038.31</v>
          </cell>
          <cell r="W1302">
            <v>0</v>
          </cell>
          <cell r="X1302">
            <v>0</v>
          </cell>
          <cell r="Y1302">
            <v>0</v>
          </cell>
          <cell r="Z1302">
            <v>0</v>
          </cell>
          <cell r="AA1302">
            <v>0</v>
          </cell>
          <cell r="AB1302">
            <v>0</v>
          </cell>
          <cell r="AC1302">
            <v>0</v>
          </cell>
          <cell r="AD1302">
            <v>0</v>
          </cell>
          <cell r="AE1302">
            <v>0</v>
          </cell>
          <cell r="AF1302">
            <v>0</v>
          </cell>
        </row>
        <row r="1303">
          <cell r="A1303">
            <v>3200007</v>
          </cell>
          <cell r="H1303">
            <v>63000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cell r="AE1303">
            <v>0</v>
          </cell>
          <cell r="AF1303">
            <v>0</v>
          </cell>
        </row>
        <row r="1304">
          <cell r="A1304">
            <v>3200007</v>
          </cell>
          <cell r="H1304">
            <v>63000</v>
          </cell>
          <cell r="K1304">
            <v>0</v>
          </cell>
          <cell r="L1304">
            <v>0</v>
          </cell>
          <cell r="M1304">
            <v>-19439.419999999998</v>
          </cell>
          <cell r="N1304">
            <v>0</v>
          </cell>
          <cell r="O1304">
            <v>0</v>
          </cell>
          <cell r="P1304">
            <v>0</v>
          </cell>
          <cell r="Q1304">
            <v>0</v>
          </cell>
          <cell r="R1304">
            <v>0</v>
          </cell>
          <cell r="S1304">
            <v>0</v>
          </cell>
          <cell r="T1304">
            <v>0</v>
          </cell>
          <cell r="U1304">
            <v>0</v>
          </cell>
          <cell r="V1304">
            <v>-6059.28</v>
          </cell>
          <cell r="W1304">
            <v>0</v>
          </cell>
          <cell r="X1304">
            <v>0</v>
          </cell>
          <cell r="Y1304">
            <v>0</v>
          </cell>
          <cell r="Z1304">
            <v>0</v>
          </cell>
          <cell r="AA1304">
            <v>0</v>
          </cell>
          <cell r="AB1304">
            <v>0</v>
          </cell>
          <cell r="AC1304">
            <v>0</v>
          </cell>
          <cell r="AD1304">
            <v>0</v>
          </cell>
          <cell r="AE1304">
            <v>0</v>
          </cell>
          <cell r="AF1304">
            <v>0</v>
          </cell>
        </row>
        <row r="1305">
          <cell r="A1305">
            <v>3200007</v>
          </cell>
          <cell r="H1305">
            <v>63000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0</v>
          </cell>
          <cell r="AE1305">
            <v>0</v>
          </cell>
          <cell r="AF1305">
            <v>0</v>
          </cell>
        </row>
        <row r="1306">
          <cell r="A1306">
            <v>3200008</v>
          </cell>
          <cell r="B1306" t="str">
            <v>3200008</v>
          </cell>
          <cell r="G1306" t="str">
            <v>RELIENCE MOBILE (5)</v>
          </cell>
          <cell r="H1306">
            <v>7005</v>
          </cell>
          <cell r="K1306">
            <v>0</v>
          </cell>
          <cell r="L1306">
            <v>0</v>
          </cell>
          <cell r="M1306">
            <v>-7005</v>
          </cell>
          <cell r="N1306">
            <v>0</v>
          </cell>
          <cell r="O1306">
            <v>0</v>
          </cell>
          <cell r="P1306">
            <v>0</v>
          </cell>
          <cell r="Q1306">
            <v>0</v>
          </cell>
          <cell r="R1306">
            <v>0</v>
          </cell>
          <cell r="S1306">
            <v>0</v>
          </cell>
          <cell r="T1306">
            <v>0</v>
          </cell>
          <cell r="U1306">
            <v>0</v>
          </cell>
          <cell r="V1306">
            <v>0</v>
          </cell>
          <cell r="W1306">
            <v>0</v>
          </cell>
          <cell r="X1306">
            <v>0</v>
          </cell>
          <cell r="Y1306">
            <v>0</v>
          </cell>
          <cell r="Z1306">
            <v>0</v>
          </cell>
          <cell r="AA1306">
            <v>0</v>
          </cell>
          <cell r="AB1306">
            <v>0</v>
          </cell>
          <cell r="AC1306">
            <v>0</v>
          </cell>
          <cell r="AD1306">
            <v>0</v>
          </cell>
          <cell r="AE1306">
            <v>0</v>
          </cell>
          <cell r="AF1306">
            <v>0</v>
          </cell>
        </row>
        <row r="1307">
          <cell r="A1307">
            <v>3200008</v>
          </cell>
          <cell r="H1307">
            <v>7005</v>
          </cell>
          <cell r="K1307">
            <v>0</v>
          </cell>
          <cell r="L1307">
            <v>0</v>
          </cell>
          <cell r="M1307">
            <v>0</v>
          </cell>
          <cell r="N1307">
            <v>0</v>
          </cell>
          <cell r="O1307">
            <v>0</v>
          </cell>
          <cell r="P1307">
            <v>0</v>
          </cell>
          <cell r="Q1307">
            <v>0</v>
          </cell>
          <cell r="R1307">
            <v>0</v>
          </cell>
          <cell r="S1307">
            <v>0</v>
          </cell>
          <cell r="T1307">
            <v>0</v>
          </cell>
          <cell r="U1307">
            <v>0</v>
          </cell>
          <cell r="V1307">
            <v>0</v>
          </cell>
          <cell r="W1307">
            <v>0</v>
          </cell>
          <cell r="X1307">
            <v>0</v>
          </cell>
          <cell r="Y1307">
            <v>0</v>
          </cell>
          <cell r="Z1307">
            <v>0</v>
          </cell>
          <cell r="AA1307">
            <v>0</v>
          </cell>
          <cell r="AB1307">
            <v>0</v>
          </cell>
          <cell r="AC1307">
            <v>0</v>
          </cell>
          <cell r="AD1307">
            <v>0</v>
          </cell>
          <cell r="AE1307">
            <v>0</v>
          </cell>
          <cell r="AF1307">
            <v>0</v>
          </cell>
        </row>
        <row r="1308">
          <cell r="A1308">
            <v>3200008</v>
          </cell>
          <cell r="H1308">
            <v>7005</v>
          </cell>
          <cell r="K1308">
            <v>0</v>
          </cell>
          <cell r="L1308">
            <v>0</v>
          </cell>
          <cell r="M1308">
            <v>-7005</v>
          </cell>
          <cell r="N1308">
            <v>0</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cell r="AB1308">
            <v>0</v>
          </cell>
          <cell r="AC1308">
            <v>0</v>
          </cell>
          <cell r="AD1308">
            <v>0</v>
          </cell>
          <cell r="AE1308">
            <v>0</v>
          </cell>
          <cell r="AF1308">
            <v>0</v>
          </cell>
        </row>
        <row r="1309">
          <cell r="A1309">
            <v>3200008</v>
          </cell>
          <cell r="H1309">
            <v>7005</v>
          </cell>
          <cell r="K1309">
            <v>0</v>
          </cell>
          <cell r="L1309">
            <v>0</v>
          </cell>
          <cell r="M1309">
            <v>0</v>
          </cell>
          <cell r="N1309">
            <v>0</v>
          </cell>
          <cell r="O1309">
            <v>0</v>
          </cell>
          <cell r="P1309">
            <v>0</v>
          </cell>
          <cell r="Q1309">
            <v>0</v>
          </cell>
          <cell r="R1309">
            <v>0</v>
          </cell>
          <cell r="S1309">
            <v>0</v>
          </cell>
          <cell r="T1309">
            <v>0</v>
          </cell>
          <cell r="U1309">
            <v>0</v>
          </cell>
          <cell r="V1309">
            <v>0</v>
          </cell>
          <cell r="W1309">
            <v>0</v>
          </cell>
          <cell r="X1309">
            <v>0</v>
          </cell>
          <cell r="Y1309">
            <v>0</v>
          </cell>
          <cell r="Z1309">
            <v>0</v>
          </cell>
          <cell r="AA1309">
            <v>0</v>
          </cell>
          <cell r="AB1309">
            <v>0</v>
          </cell>
          <cell r="AC1309">
            <v>0</v>
          </cell>
          <cell r="AD1309">
            <v>0</v>
          </cell>
          <cell r="AE1309">
            <v>0</v>
          </cell>
          <cell r="AF1309">
            <v>0</v>
          </cell>
        </row>
        <row r="1310">
          <cell r="A1310">
            <v>3200009</v>
          </cell>
          <cell r="B1310" t="str">
            <v>3200009</v>
          </cell>
          <cell r="G1310" t="str">
            <v>MOBILE PHONE -Jigar</v>
          </cell>
          <cell r="H1310">
            <v>10000</v>
          </cell>
          <cell r="K1310">
            <v>0</v>
          </cell>
          <cell r="L1310">
            <v>0</v>
          </cell>
          <cell r="M1310">
            <v>-1326.21</v>
          </cell>
          <cell r="N1310">
            <v>0</v>
          </cell>
          <cell r="O1310">
            <v>0</v>
          </cell>
          <cell r="P1310">
            <v>0</v>
          </cell>
          <cell r="Q1310">
            <v>0</v>
          </cell>
          <cell r="R1310">
            <v>0</v>
          </cell>
          <cell r="S1310">
            <v>0</v>
          </cell>
          <cell r="T1310">
            <v>0</v>
          </cell>
          <cell r="U1310">
            <v>0</v>
          </cell>
          <cell r="V1310">
            <v>-1206.52</v>
          </cell>
          <cell r="W1310">
            <v>0</v>
          </cell>
          <cell r="X1310">
            <v>0</v>
          </cell>
          <cell r="Y1310">
            <v>0</v>
          </cell>
          <cell r="Z1310">
            <v>0</v>
          </cell>
          <cell r="AA1310">
            <v>0</v>
          </cell>
          <cell r="AB1310">
            <v>0</v>
          </cell>
          <cell r="AC1310">
            <v>0</v>
          </cell>
          <cell r="AD1310">
            <v>0</v>
          </cell>
          <cell r="AE1310">
            <v>0</v>
          </cell>
          <cell r="AF1310">
            <v>0</v>
          </cell>
        </row>
        <row r="1311">
          <cell r="A1311">
            <v>3200009</v>
          </cell>
          <cell r="H1311">
            <v>10000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v>0</v>
          </cell>
          <cell r="Z1311">
            <v>0</v>
          </cell>
          <cell r="AA1311">
            <v>0</v>
          </cell>
          <cell r="AB1311">
            <v>0</v>
          </cell>
          <cell r="AC1311">
            <v>0</v>
          </cell>
          <cell r="AD1311">
            <v>0</v>
          </cell>
          <cell r="AE1311">
            <v>0</v>
          </cell>
          <cell r="AF1311">
            <v>0</v>
          </cell>
        </row>
        <row r="1312">
          <cell r="A1312">
            <v>3200009</v>
          </cell>
          <cell r="H1312">
            <v>10000</v>
          </cell>
          <cell r="K1312">
            <v>0</v>
          </cell>
          <cell r="L1312">
            <v>0</v>
          </cell>
          <cell r="M1312">
            <v>-2532.73</v>
          </cell>
          <cell r="N1312">
            <v>0</v>
          </cell>
          <cell r="O1312">
            <v>0</v>
          </cell>
          <cell r="P1312">
            <v>0</v>
          </cell>
          <cell r="Q1312">
            <v>0</v>
          </cell>
          <cell r="R1312">
            <v>0</v>
          </cell>
          <cell r="S1312">
            <v>0</v>
          </cell>
          <cell r="T1312">
            <v>0</v>
          </cell>
          <cell r="U1312">
            <v>0</v>
          </cell>
          <cell r="V1312">
            <v>-1038.7</v>
          </cell>
          <cell r="W1312">
            <v>0</v>
          </cell>
          <cell r="X1312">
            <v>0</v>
          </cell>
          <cell r="Y1312">
            <v>0</v>
          </cell>
          <cell r="Z1312">
            <v>0</v>
          </cell>
          <cell r="AA1312">
            <v>0</v>
          </cell>
          <cell r="AB1312">
            <v>0</v>
          </cell>
          <cell r="AC1312">
            <v>0</v>
          </cell>
          <cell r="AD1312">
            <v>0</v>
          </cell>
          <cell r="AE1312">
            <v>0</v>
          </cell>
          <cell r="AF1312">
            <v>0</v>
          </cell>
        </row>
        <row r="1313">
          <cell r="A1313">
            <v>3200009</v>
          </cell>
          <cell r="H1313">
            <v>10000</v>
          </cell>
          <cell r="K1313">
            <v>0</v>
          </cell>
          <cell r="L1313">
            <v>0</v>
          </cell>
          <cell r="M1313">
            <v>0</v>
          </cell>
          <cell r="N1313">
            <v>0</v>
          </cell>
          <cell r="O1313">
            <v>0</v>
          </cell>
          <cell r="P1313">
            <v>0</v>
          </cell>
          <cell r="Q1313">
            <v>0</v>
          </cell>
          <cell r="R1313">
            <v>0</v>
          </cell>
          <cell r="S1313">
            <v>0</v>
          </cell>
          <cell r="T1313">
            <v>0</v>
          </cell>
          <cell r="U1313">
            <v>0</v>
          </cell>
          <cell r="V1313">
            <v>0</v>
          </cell>
          <cell r="W1313">
            <v>0</v>
          </cell>
          <cell r="X1313">
            <v>0</v>
          </cell>
          <cell r="Y1313">
            <v>0</v>
          </cell>
          <cell r="Z1313">
            <v>0</v>
          </cell>
          <cell r="AA1313">
            <v>0</v>
          </cell>
          <cell r="AB1313">
            <v>0</v>
          </cell>
          <cell r="AC1313">
            <v>0</v>
          </cell>
          <cell r="AD1313">
            <v>0</v>
          </cell>
          <cell r="AE1313">
            <v>0</v>
          </cell>
          <cell r="AF1313">
            <v>0</v>
          </cell>
        </row>
        <row r="1314">
          <cell r="A1314">
            <v>3200010</v>
          </cell>
          <cell r="B1314" t="str">
            <v>3200010</v>
          </cell>
          <cell r="G1314" t="str">
            <v>MOBILE PHONE -Poussin</v>
          </cell>
          <cell r="H1314">
            <v>8700</v>
          </cell>
          <cell r="K1314">
            <v>0</v>
          </cell>
          <cell r="L1314">
            <v>0</v>
          </cell>
          <cell r="M1314">
            <v>-537.12</v>
          </cell>
          <cell r="N1314">
            <v>0</v>
          </cell>
          <cell r="O1314">
            <v>0</v>
          </cell>
          <cell r="P1314">
            <v>0</v>
          </cell>
          <cell r="Q1314">
            <v>0</v>
          </cell>
          <cell r="R1314">
            <v>0</v>
          </cell>
          <cell r="S1314">
            <v>0</v>
          </cell>
          <cell r="T1314">
            <v>0</v>
          </cell>
          <cell r="U1314">
            <v>0</v>
          </cell>
          <cell r="V1314">
            <v>-1135.46</v>
          </cell>
          <cell r="W1314">
            <v>0</v>
          </cell>
          <cell r="X1314">
            <v>0</v>
          </cell>
          <cell r="Y1314">
            <v>0</v>
          </cell>
          <cell r="Z1314">
            <v>0</v>
          </cell>
          <cell r="AA1314">
            <v>0</v>
          </cell>
          <cell r="AB1314">
            <v>0</v>
          </cell>
          <cell r="AC1314">
            <v>0</v>
          </cell>
          <cell r="AD1314">
            <v>0</v>
          </cell>
          <cell r="AE1314">
            <v>0</v>
          </cell>
          <cell r="AF1314">
            <v>0</v>
          </cell>
        </row>
        <row r="1315">
          <cell r="A1315">
            <v>3200010</v>
          </cell>
          <cell r="H1315">
            <v>8700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cell r="AD1315">
            <v>0</v>
          </cell>
          <cell r="AE1315">
            <v>0</v>
          </cell>
          <cell r="AF1315">
            <v>0</v>
          </cell>
        </row>
        <row r="1316">
          <cell r="A1316">
            <v>3200010</v>
          </cell>
          <cell r="H1316">
            <v>8700</v>
          </cell>
          <cell r="K1316">
            <v>0</v>
          </cell>
          <cell r="L1316">
            <v>0</v>
          </cell>
          <cell r="M1316">
            <v>-1672.58</v>
          </cell>
          <cell r="N1316">
            <v>0</v>
          </cell>
          <cell r="O1316">
            <v>0</v>
          </cell>
          <cell r="P1316">
            <v>0</v>
          </cell>
          <cell r="Q1316">
            <v>0</v>
          </cell>
          <cell r="R1316">
            <v>0</v>
          </cell>
          <cell r="S1316">
            <v>0</v>
          </cell>
          <cell r="T1316">
            <v>0</v>
          </cell>
          <cell r="U1316">
            <v>0</v>
          </cell>
          <cell r="V1316">
            <v>-977.51</v>
          </cell>
          <cell r="W1316">
            <v>0</v>
          </cell>
          <cell r="X1316">
            <v>0</v>
          </cell>
          <cell r="Y1316">
            <v>0</v>
          </cell>
          <cell r="Z1316">
            <v>0</v>
          </cell>
          <cell r="AA1316">
            <v>0</v>
          </cell>
          <cell r="AB1316">
            <v>0</v>
          </cell>
          <cell r="AC1316">
            <v>0</v>
          </cell>
          <cell r="AD1316">
            <v>0</v>
          </cell>
          <cell r="AE1316">
            <v>0</v>
          </cell>
          <cell r="AF1316">
            <v>0</v>
          </cell>
        </row>
        <row r="1317">
          <cell r="A1317">
            <v>3200010</v>
          </cell>
          <cell r="H1317">
            <v>8700</v>
          </cell>
          <cell r="K1317">
            <v>0</v>
          </cell>
          <cell r="L1317">
            <v>0</v>
          </cell>
          <cell r="M1317">
            <v>0</v>
          </cell>
          <cell r="N1317">
            <v>0</v>
          </cell>
          <cell r="O1317">
            <v>0</v>
          </cell>
          <cell r="P1317">
            <v>0</v>
          </cell>
          <cell r="Q1317">
            <v>0</v>
          </cell>
          <cell r="R1317">
            <v>0</v>
          </cell>
          <cell r="S1317">
            <v>0</v>
          </cell>
          <cell r="T1317">
            <v>0</v>
          </cell>
          <cell r="U1317">
            <v>0</v>
          </cell>
          <cell r="V1317">
            <v>0</v>
          </cell>
          <cell r="W1317">
            <v>0</v>
          </cell>
          <cell r="X1317">
            <v>0</v>
          </cell>
          <cell r="Y1317">
            <v>0</v>
          </cell>
          <cell r="Z1317">
            <v>0</v>
          </cell>
          <cell r="AA1317">
            <v>0</v>
          </cell>
          <cell r="AB1317">
            <v>0</v>
          </cell>
          <cell r="AC1317">
            <v>0</v>
          </cell>
          <cell r="AD1317">
            <v>0</v>
          </cell>
          <cell r="AE1317">
            <v>0</v>
          </cell>
          <cell r="AF1317">
            <v>0</v>
          </cell>
        </row>
        <row r="1318">
          <cell r="A1318">
            <v>3200011</v>
          </cell>
          <cell r="B1318" t="str">
            <v>3200011</v>
          </cell>
          <cell r="G1318" t="str">
            <v>MOBILE PHONE -Palak</v>
          </cell>
          <cell r="H1318">
            <v>9000</v>
          </cell>
          <cell r="K1318">
            <v>0</v>
          </cell>
          <cell r="L1318">
            <v>0</v>
          </cell>
          <cell r="M1318">
            <v>-363.57</v>
          </cell>
          <cell r="N1318">
            <v>0</v>
          </cell>
          <cell r="O1318">
            <v>0</v>
          </cell>
          <cell r="P1318">
            <v>0</v>
          </cell>
          <cell r="Q1318">
            <v>0</v>
          </cell>
          <cell r="R1318">
            <v>0</v>
          </cell>
          <cell r="S1318">
            <v>0</v>
          </cell>
          <cell r="T1318">
            <v>0</v>
          </cell>
          <cell r="U1318">
            <v>0</v>
          </cell>
          <cell r="V1318">
            <v>-1201.33</v>
          </cell>
          <cell r="W1318">
            <v>0</v>
          </cell>
          <cell r="X1318">
            <v>0</v>
          </cell>
          <cell r="Y1318">
            <v>0</v>
          </cell>
          <cell r="Z1318">
            <v>0</v>
          </cell>
          <cell r="AA1318">
            <v>0</v>
          </cell>
          <cell r="AB1318">
            <v>0</v>
          </cell>
          <cell r="AC1318">
            <v>0</v>
          </cell>
          <cell r="AD1318">
            <v>0</v>
          </cell>
          <cell r="AE1318">
            <v>0</v>
          </cell>
          <cell r="AF1318">
            <v>0</v>
          </cell>
        </row>
        <row r="1319">
          <cell r="A1319">
            <v>3200011</v>
          </cell>
          <cell r="H1319">
            <v>9000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0</v>
          </cell>
          <cell r="Y1319">
            <v>0</v>
          </cell>
          <cell r="Z1319">
            <v>0</v>
          </cell>
          <cell r="AA1319">
            <v>0</v>
          </cell>
          <cell r="AB1319">
            <v>0</v>
          </cell>
          <cell r="AC1319">
            <v>0</v>
          </cell>
          <cell r="AD1319">
            <v>0</v>
          </cell>
          <cell r="AE1319">
            <v>0</v>
          </cell>
          <cell r="AF1319">
            <v>0</v>
          </cell>
        </row>
        <row r="1320">
          <cell r="A1320">
            <v>3200011</v>
          </cell>
          <cell r="H1320">
            <v>9000</v>
          </cell>
          <cell r="K1320">
            <v>0</v>
          </cell>
          <cell r="L1320">
            <v>0</v>
          </cell>
          <cell r="M1320">
            <v>-1564.9</v>
          </cell>
          <cell r="N1320">
            <v>0</v>
          </cell>
          <cell r="O1320">
            <v>0</v>
          </cell>
          <cell r="P1320">
            <v>0</v>
          </cell>
          <cell r="Q1320">
            <v>0</v>
          </cell>
          <cell r="R1320">
            <v>0</v>
          </cell>
          <cell r="S1320">
            <v>0</v>
          </cell>
          <cell r="T1320">
            <v>0</v>
          </cell>
          <cell r="U1320">
            <v>0</v>
          </cell>
          <cell r="V1320">
            <v>-1034.22</v>
          </cell>
          <cell r="W1320">
            <v>0</v>
          </cell>
          <cell r="X1320">
            <v>0</v>
          </cell>
          <cell r="Y1320">
            <v>0</v>
          </cell>
          <cell r="Z1320">
            <v>0</v>
          </cell>
          <cell r="AA1320">
            <v>0</v>
          </cell>
          <cell r="AB1320">
            <v>0</v>
          </cell>
          <cell r="AC1320">
            <v>0</v>
          </cell>
          <cell r="AD1320">
            <v>0</v>
          </cell>
          <cell r="AE1320">
            <v>0</v>
          </cell>
          <cell r="AF1320">
            <v>0</v>
          </cell>
        </row>
        <row r="1321">
          <cell r="A1321">
            <v>3200011</v>
          </cell>
          <cell r="H1321">
            <v>9000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cell r="AD1321">
            <v>0</v>
          </cell>
          <cell r="AE1321">
            <v>0</v>
          </cell>
          <cell r="AF1321">
            <v>0</v>
          </cell>
        </row>
        <row r="1322">
          <cell r="A1322">
            <v>3200012</v>
          </cell>
          <cell r="B1322" t="str">
            <v>3200012</v>
          </cell>
          <cell r="G1322" t="str">
            <v>MOBILE PHONE -Pinkal /Bhavin</v>
          </cell>
          <cell r="H1322">
            <v>10000</v>
          </cell>
          <cell r="K1322">
            <v>0</v>
          </cell>
          <cell r="L1322">
            <v>0</v>
          </cell>
          <cell r="M1322">
            <v>-11.43</v>
          </cell>
          <cell r="N1322">
            <v>0</v>
          </cell>
          <cell r="O1322">
            <v>0</v>
          </cell>
          <cell r="P1322">
            <v>0</v>
          </cell>
          <cell r="Q1322">
            <v>0</v>
          </cell>
          <cell r="R1322">
            <v>0</v>
          </cell>
          <cell r="S1322">
            <v>0</v>
          </cell>
          <cell r="T1322">
            <v>0</v>
          </cell>
          <cell r="U1322">
            <v>0</v>
          </cell>
          <cell r="V1322">
            <v>-1389.41</v>
          </cell>
          <cell r="W1322">
            <v>0</v>
          </cell>
          <cell r="X1322">
            <v>0</v>
          </cell>
          <cell r="Y1322">
            <v>0</v>
          </cell>
          <cell r="Z1322">
            <v>0</v>
          </cell>
          <cell r="AA1322">
            <v>0</v>
          </cell>
          <cell r="AB1322">
            <v>0</v>
          </cell>
          <cell r="AC1322">
            <v>0</v>
          </cell>
          <cell r="AD1322">
            <v>0</v>
          </cell>
          <cell r="AE1322">
            <v>0</v>
          </cell>
          <cell r="AF1322">
            <v>0</v>
          </cell>
        </row>
        <row r="1323">
          <cell r="A1323">
            <v>3200012</v>
          </cell>
          <cell r="H1323">
            <v>10000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cell r="AB1323">
            <v>0</v>
          </cell>
          <cell r="AC1323">
            <v>0</v>
          </cell>
          <cell r="AD1323">
            <v>0</v>
          </cell>
          <cell r="AE1323">
            <v>0</v>
          </cell>
          <cell r="AF1323">
            <v>0</v>
          </cell>
        </row>
        <row r="1324">
          <cell r="A1324">
            <v>3200012</v>
          </cell>
          <cell r="H1324">
            <v>10000</v>
          </cell>
          <cell r="K1324">
            <v>0</v>
          </cell>
          <cell r="L1324">
            <v>0</v>
          </cell>
          <cell r="M1324">
            <v>-1400.84</v>
          </cell>
          <cell r="N1324">
            <v>0</v>
          </cell>
          <cell r="O1324">
            <v>0</v>
          </cell>
          <cell r="P1324">
            <v>0</v>
          </cell>
          <cell r="Q1324">
            <v>0</v>
          </cell>
          <cell r="R1324">
            <v>0</v>
          </cell>
          <cell r="S1324">
            <v>0</v>
          </cell>
          <cell r="T1324">
            <v>0</v>
          </cell>
          <cell r="U1324">
            <v>0</v>
          </cell>
          <cell r="V1324">
            <v>-1196.1400000000001</v>
          </cell>
          <cell r="W1324">
            <v>0</v>
          </cell>
          <cell r="X1324">
            <v>0</v>
          </cell>
          <cell r="Y1324">
            <v>0</v>
          </cell>
          <cell r="Z1324">
            <v>0</v>
          </cell>
          <cell r="AA1324">
            <v>0</v>
          </cell>
          <cell r="AB1324">
            <v>0</v>
          </cell>
          <cell r="AC1324">
            <v>0</v>
          </cell>
          <cell r="AD1324">
            <v>0</v>
          </cell>
          <cell r="AE1324">
            <v>0</v>
          </cell>
          <cell r="AF1324">
            <v>0</v>
          </cell>
        </row>
        <row r="1325">
          <cell r="A1325">
            <v>3200012</v>
          </cell>
          <cell r="H1325">
            <v>10000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row>
        <row r="1326">
          <cell r="A1326">
            <v>3200013</v>
          </cell>
          <cell r="B1326" t="str">
            <v>3200013</v>
          </cell>
          <cell r="G1326" t="str">
            <v>COMMUNICATION EQUIP.</v>
          </cell>
          <cell r="H1326">
            <v>63500</v>
          </cell>
          <cell r="K1326">
            <v>0</v>
          </cell>
          <cell r="L1326">
            <v>0</v>
          </cell>
          <cell r="M1326">
            <v>-28851</v>
          </cell>
          <cell r="N1326">
            <v>0</v>
          </cell>
          <cell r="O1326">
            <v>0</v>
          </cell>
          <cell r="P1326">
            <v>0</v>
          </cell>
          <cell r="Q1326">
            <v>0</v>
          </cell>
          <cell r="R1326">
            <v>0</v>
          </cell>
          <cell r="S1326">
            <v>0</v>
          </cell>
          <cell r="T1326">
            <v>0</v>
          </cell>
          <cell r="U1326">
            <v>0</v>
          </cell>
          <cell r="V1326">
            <v>-4819.68</v>
          </cell>
          <cell r="W1326">
            <v>0</v>
          </cell>
          <cell r="X1326">
            <v>0</v>
          </cell>
          <cell r="Y1326">
            <v>0</v>
          </cell>
          <cell r="Z1326">
            <v>0</v>
          </cell>
          <cell r="AA1326">
            <v>0</v>
          </cell>
          <cell r="AB1326">
            <v>0</v>
          </cell>
          <cell r="AC1326">
            <v>0</v>
          </cell>
          <cell r="AD1326">
            <v>0</v>
          </cell>
          <cell r="AE1326">
            <v>0</v>
          </cell>
          <cell r="AF1326">
            <v>0</v>
          </cell>
        </row>
        <row r="1327">
          <cell r="A1327">
            <v>3200013</v>
          </cell>
          <cell r="H1327">
            <v>63500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0</v>
          </cell>
          <cell r="AC1327">
            <v>0</v>
          </cell>
          <cell r="AD1327">
            <v>0</v>
          </cell>
          <cell r="AE1327">
            <v>0</v>
          </cell>
          <cell r="AF1327">
            <v>0</v>
          </cell>
        </row>
        <row r="1328">
          <cell r="A1328">
            <v>3200013</v>
          </cell>
          <cell r="H1328">
            <v>63500</v>
          </cell>
          <cell r="K1328">
            <v>0</v>
          </cell>
          <cell r="L1328">
            <v>0</v>
          </cell>
          <cell r="M1328">
            <v>-33670.68</v>
          </cell>
          <cell r="N1328">
            <v>0</v>
          </cell>
          <cell r="O1328">
            <v>0</v>
          </cell>
          <cell r="P1328">
            <v>0</v>
          </cell>
          <cell r="Q1328">
            <v>0</v>
          </cell>
          <cell r="R1328">
            <v>0</v>
          </cell>
          <cell r="S1328">
            <v>0</v>
          </cell>
          <cell r="T1328">
            <v>0</v>
          </cell>
          <cell r="U1328">
            <v>0</v>
          </cell>
          <cell r="V1328">
            <v>-4149.26</v>
          </cell>
          <cell r="W1328">
            <v>0</v>
          </cell>
          <cell r="X1328">
            <v>0</v>
          </cell>
          <cell r="Y1328">
            <v>0</v>
          </cell>
          <cell r="Z1328">
            <v>0</v>
          </cell>
          <cell r="AA1328">
            <v>0</v>
          </cell>
          <cell r="AB1328">
            <v>0</v>
          </cell>
          <cell r="AC1328">
            <v>0</v>
          </cell>
          <cell r="AD1328">
            <v>0</v>
          </cell>
          <cell r="AE1328">
            <v>0</v>
          </cell>
          <cell r="AF1328">
            <v>0</v>
          </cell>
        </row>
        <row r="1329">
          <cell r="A1329">
            <v>3200013</v>
          </cell>
          <cell r="H1329">
            <v>63500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v>0</v>
          </cell>
          <cell r="Z1329">
            <v>0</v>
          </cell>
          <cell r="AA1329">
            <v>0</v>
          </cell>
          <cell r="AB1329">
            <v>0</v>
          </cell>
          <cell r="AC1329">
            <v>0</v>
          </cell>
          <cell r="AD1329">
            <v>0</v>
          </cell>
          <cell r="AE1329">
            <v>0</v>
          </cell>
          <cell r="AF1329">
            <v>0</v>
          </cell>
        </row>
        <row r="1330">
          <cell r="A1330">
            <v>3200014</v>
          </cell>
          <cell r="B1330" t="str">
            <v>3200014</v>
          </cell>
          <cell r="G1330" t="str">
            <v>COMMUNICATION EQUIP.</v>
          </cell>
          <cell r="H1330">
            <v>10000</v>
          </cell>
          <cell r="K1330">
            <v>0</v>
          </cell>
          <cell r="L1330">
            <v>0</v>
          </cell>
          <cell r="M1330">
            <v>-4420</v>
          </cell>
          <cell r="N1330">
            <v>0</v>
          </cell>
          <cell r="O1330">
            <v>0</v>
          </cell>
          <cell r="P1330">
            <v>0</v>
          </cell>
          <cell r="Q1330">
            <v>0</v>
          </cell>
          <cell r="R1330">
            <v>0</v>
          </cell>
          <cell r="S1330">
            <v>0</v>
          </cell>
          <cell r="T1330">
            <v>0</v>
          </cell>
          <cell r="U1330">
            <v>0</v>
          </cell>
          <cell r="V1330">
            <v>-776.18</v>
          </cell>
          <cell r="W1330">
            <v>0</v>
          </cell>
          <cell r="X1330">
            <v>0</v>
          </cell>
          <cell r="Y1330">
            <v>0</v>
          </cell>
          <cell r="Z1330">
            <v>0</v>
          </cell>
          <cell r="AA1330">
            <v>0</v>
          </cell>
          <cell r="AB1330">
            <v>0</v>
          </cell>
          <cell r="AC1330">
            <v>0</v>
          </cell>
          <cell r="AD1330">
            <v>0</v>
          </cell>
          <cell r="AE1330">
            <v>0</v>
          </cell>
          <cell r="AF1330">
            <v>0</v>
          </cell>
        </row>
        <row r="1331">
          <cell r="A1331">
            <v>3200014</v>
          </cell>
          <cell r="H1331">
            <v>10000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v>0</v>
          </cell>
          <cell r="Z1331">
            <v>0</v>
          </cell>
          <cell r="AA1331">
            <v>0</v>
          </cell>
          <cell r="AB1331">
            <v>0</v>
          </cell>
          <cell r="AC1331">
            <v>0</v>
          </cell>
          <cell r="AD1331">
            <v>0</v>
          </cell>
          <cell r="AE1331">
            <v>0</v>
          </cell>
          <cell r="AF1331">
            <v>0</v>
          </cell>
        </row>
        <row r="1332">
          <cell r="A1332">
            <v>3200014</v>
          </cell>
          <cell r="H1332">
            <v>10000</v>
          </cell>
          <cell r="K1332">
            <v>0</v>
          </cell>
          <cell r="L1332">
            <v>0</v>
          </cell>
          <cell r="M1332">
            <v>-5196.18</v>
          </cell>
          <cell r="N1332">
            <v>0</v>
          </cell>
          <cell r="O1332">
            <v>0</v>
          </cell>
          <cell r="P1332">
            <v>0</v>
          </cell>
          <cell r="Q1332">
            <v>0</v>
          </cell>
          <cell r="R1332">
            <v>0</v>
          </cell>
          <cell r="S1332">
            <v>0</v>
          </cell>
          <cell r="T1332">
            <v>0</v>
          </cell>
          <cell r="U1332">
            <v>0</v>
          </cell>
          <cell r="V1332">
            <v>-668.21</v>
          </cell>
          <cell r="W1332">
            <v>0</v>
          </cell>
          <cell r="X1332">
            <v>0</v>
          </cell>
          <cell r="Y1332">
            <v>0</v>
          </cell>
          <cell r="Z1332">
            <v>0</v>
          </cell>
          <cell r="AA1332">
            <v>0</v>
          </cell>
          <cell r="AB1332">
            <v>0</v>
          </cell>
          <cell r="AC1332">
            <v>0</v>
          </cell>
          <cell r="AD1332">
            <v>0</v>
          </cell>
          <cell r="AE1332">
            <v>0</v>
          </cell>
          <cell r="AF1332">
            <v>0</v>
          </cell>
        </row>
        <row r="1333">
          <cell r="A1333">
            <v>3200014</v>
          </cell>
          <cell r="H1333">
            <v>10000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0</v>
          </cell>
          <cell r="AC1333">
            <v>0</v>
          </cell>
          <cell r="AD1333">
            <v>0</v>
          </cell>
          <cell r="AE1333">
            <v>0</v>
          </cell>
          <cell r="AF1333">
            <v>0</v>
          </cell>
        </row>
        <row r="1334">
          <cell r="A1334">
            <v>3200015</v>
          </cell>
          <cell r="B1334" t="str">
            <v>3200015</v>
          </cell>
          <cell r="G1334" t="str">
            <v>COMMUNICATION EQUIP.</v>
          </cell>
          <cell r="H1334">
            <v>10000</v>
          </cell>
          <cell r="K1334">
            <v>0</v>
          </cell>
          <cell r="L1334">
            <v>0</v>
          </cell>
          <cell r="M1334">
            <v>-4247</v>
          </cell>
          <cell r="N1334">
            <v>0</v>
          </cell>
          <cell r="O1334">
            <v>0</v>
          </cell>
          <cell r="P1334">
            <v>0</v>
          </cell>
          <cell r="Q1334">
            <v>0</v>
          </cell>
          <cell r="R1334">
            <v>0</v>
          </cell>
          <cell r="S1334">
            <v>0</v>
          </cell>
          <cell r="T1334">
            <v>0</v>
          </cell>
          <cell r="U1334">
            <v>0</v>
          </cell>
          <cell r="V1334">
            <v>-800.24</v>
          </cell>
          <cell r="W1334">
            <v>0</v>
          </cell>
          <cell r="X1334">
            <v>0</v>
          </cell>
          <cell r="Y1334">
            <v>0</v>
          </cell>
          <cell r="Z1334">
            <v>0</v>
          </cell>
          <cell r="AA1334">
            <v>0</v>
          </cell>
          <cell r="AB1334">
            <v>0</v>
          </cell>
          <cell r="AC1334">
            <v>0</v>
          </cell>
          <cell r="AD1334">
            <v>0</v>
          </cell>
          <cell r="AE1334">
            <v>0</v>
          </cell>
          <cell r="AF1334">
            <v>0</v>
          </cell>
        </row>
        <row r="1335">
          <cell r="A1335">
            <v>3200015</v>
          </cell>
          <cell r="H1335">
            <v>10000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v>0</v>
          </cell>
          <cell r="Z1335">
            <v>0</v>
          </cell>
          <cell r="AA1335">
            <v>0</v>
          </cell>
          <cell r="AB1335">
            <v>0</v>
          </cell>
          <cell r="AC1335">
            <v>0</v>
          </cell>
          <cell r="AD1335">
            <v>0</v>
          </cell>
          <cell r="AE1335">
            <v>0</v>
          </cell>
          <cell r="AF1335">
            <v>0</v>
          </cell>
        </row>
        <row r="1336">
          <cell r="A1336">
            <v>3200015</v>
          </cell>
          <cell r="H1336">
            <v>10000</v>
          </cell>
          <cell r="K1336">
            <v>0</v>
          </cell>
          <cell r="L1336">
            <v>0</v>
          </cell>
          <cell r="M1336">
            <v>-5047.24</v>
          </cell>
          <cell r="N1336">
            <v>0</v>
          </cell>
          <cell r="O1336">
            <v>0</v>
          </cell>
          <cell r="P1336">
            <v>0</v>
          </cell>
          <cell r="Q1336">
            <v>0</v>
          </cell>
          <cell r="R1336">
            <v>0</v>
          </cell>
          <cell r="S1336">
            <v>0</v>
          </cell>
          <cell r="T1336">
            <v>0</v>
          </cell>
          <cell r="U1336">
            <v>0</v>
          </cell>
          <cell r="V1336">
            <v>-688.93</v>
          </cell>
          <cell r="W1336">
            <v>0</v>
          </cell>
          <cell r="X1336">
            <v>0</v>
          </cell>
          <cell r="Y1336">
            <v>0</v>
          </cell>
          <cell r="Z1336">
            <v>0</v>
          </cell>
          <cell r="AA1336">
            <v>0</v>
          </cell>
          <cell r="AB1336">
            <v>0</v>
          </cell>
          <cell r="AC1336">
            <v>0</v>
          </cell>
          <cell r="AD1336">
            <v>0</v>
          </cell>
          <cell r="AE1336">
            <v>0</v>
          </cell>
          <cell r="AF1336">
            <v>0</v>
          </cell>
        </row>
        <row r="1337">
          <cell r="A1337">
            <v>3200015</v>
          </cell>
          <cell r="H1337">
            <v>10000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0</v>
          </cell>
          <cell r="AF1337">
            <v>0</v>
          </cell>
        </row>
        <row r="1338">
          <cell r="A1338">
            <v>3200016</v>
          </cell>
          <cell r="B1338" t="str">
            <v>3200016</v>
          </cell>
          <cell r="G1338" t="str">
            <v>COMMUNICATION EQUIP.</v>
          </cell>
          <cell r="H1338">
            <v>16800</v>
          </cell>
          <cell r="K1338">
            <v>0</v>
          </cell>
          <cell r="L1338">
            <v>0</v>
          </cell>
          <cell r="M1338">
            <v>-6689</v>
          </cell>
          <cell r="N1338">
            <v>0</v>
          </cell>
          <cell r="O1338">
            <v>0</v>
          </cell>
          <cell r="P1338">
            <v>0</v>
          </cell>
          <cell r="Q1338">
            <v>0</v>
          </cell>
          <cell r="R1338">
            <v>0</v>
          </cell>
          <cell r="S1338">
            <v>0</v>
          </cell>
          <cell r="T1338">
            <v>0</v>
          </cell>
          <cell r="U1338">
            <v>0</v>
          </cell>
          <cell r="V1338">
            <v>-1406.44</v>
          </cell>
          <cell r="W1338">
            <v>0</v>
          </cell>
          <cell r="X1338">
            <v>0</v>
          </cell>
          <cell r="Y1338">
            <v>0</v>
          </cell>
          <cell r="Z1338">
            <v>0</v>
          </cell>
          <cell r="AA1338">
            <v>0</v>
          </cell>
          <cell r="AB1338">
            <v>0</v>
          </cell>
          <cell r="AC1338">
            <v>0</v>
          </cell>
          <cell r="AD1338">
            <v>0</v>
          </cell>
          <cell r="AE1338">
            <v>0</v>
          </cell>
          <cell r="AF1338">
            <v>0</v>
          </cell>
        </row>
        <row r="1339">
          <cell r="A1339">
            <v>3200016</v>
          </cell>
          <cell r="H1339">
            <v>16800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v>0</v>
          </cell>
          <cell r="Z1339">
            <v>0</v>
          </cell>
          <cell r="AA1339">
            <v>0</v>
          </cell>
          <cell r="AB1339">
            <v>0</v>
          </cell>
          <cell r="AC1339">
            <v>0</v>
          </cell>
          <cell r="AD1339">
            <v>0</v>
          </cell>
          <cell r="AE1339">
            <v>0</v>
          </cell>
          <cell r="AF1339">
            <v>0</v>
          </cell>
        </row>
        <row r="1340">
          <cell r="A1340">
            <v>3200016</v>
          </cell>
          <cell r="H1340">
            <v>16800</v>
          </cell>
          <cell r="K1340">
            <v>0</v>
          </cell>
          <cell r="L1340">
            <v>0</v>
          </cell>
          <cell r="M1340">
            <v>-8095.44</v>
          </cell>
          <cell r="N1340">
            <v>0</v>
          </cell>
          <cell r="O1340">
            <v>0</v>
          </cell>
          <cell r="P1340">
            <v>0</v>
          </cell>
          <cell r="Q1340">
            <v>0</v>
          </cell>
          <cell r="R1340">
            <v>0</v>
          </cell>
          <cell r="S1340">
            <v>0</v>
          </cell>
          <cell r="T1340">
            <v>0</v>
          </cell>
          <cell r="U1340">
            <v>0</v>
          </cell>
          <cell r="V1340">
            <v>-1210.8</v>
          </cell>
          <cell r="W1340">
            <v>0</v>
          </cell>
          <cell r="X1340">
            <v>0</v>
          </cell>
          <cell r="Y1340">
            <v>0</v>
          </cell>
          <cell r="Z1340">
            <v>0</v>
          </cell>
          <cell r="AA1340">
            <v>0</v>
          </cell>
          <cell r="AB1340">
            <v>0</v>
          </cell>
          <cell r="AC1340">
            <v>0</v>
          </cell>
          <cell r="AD1340">
            <v>0</v>
          </cell>
          <cell r="AE1340">
            <v>0</v>
          </cell>
          <cell r="AF1340">
            <v>0</v>
          </cell>
        </row>
        <row r="1341">
          <cell r="A1341">
            <v>3200016</v>
          </cell>
          <cell r="H1341">
            <v>16800</v>
          </cell>
          <cell r="K1341">
            <v>0</v>
          </cell>
          <cell r="L1341">
            <v>0</v>
          </cell>
          <cell r="M1341">
            <v>0</v>
          </cell>
          <cell r="N1341">
            <v>0</v>
          </cell>
          <cell r="O1341">
            <v>0</v>
          </cell>
          <cell r="P1341">
            <v>0</v>
          </cell>
          <cell r="Q1341">
            <v>0</v>
          </cell>
          <cell r="R1341">
            <v>0</v>
          </cell>
          <cell r="S1341">
            <v>0</v>
          </cell>
          <cell r="T1341">
            <v>0</v>
          </cell>
          <cell r="U1341">
            <v>0</v>
          </cell>
          <cell r="V1341">
            <v>0</v>
          </cell>
          <cell r="W1341">
            <v>0</v>
          </cell>
          <cell r="X1341">
            <v>0</v>
          </cell>
          <cell r="Y1341">
            <v>0</v>
          </cell>
          <cell r="Z1341">
            <v>0</v>
          </cell>
          <cell r="AA1341">
            <v>0</v>
          </cell>
          <cell r="AB1341">
            <v>0</v>
          </cell>
          <cell r="AC1341">
            <v>0</v>
          </cell>
          <cell r="AD1341">
            <v>0</v>
          </cell>
          <cell r="AE1341">
            <v>0</v>
          </cell>
          <cell r="AF1341">
            <v>0</v>
          </cell>
        </row>
        <row r="1342">
          <cell r="A1342">
            <v>3200017</v>
          </cell>
          <cell r="B1342" t="str">
            <v>3200017</v>
          </cell>
          <cell r="G1342" t="str">
            <v>COMMUNICATION EQUIP.</v>
          </cell>
          <cell r="H1342">
            <v>30240</v>
          </cell>
          <cell r="K1342">
            <v>0</v>
          </cell>
          <cell r="L1342">
            <v>0</v>
          </cell>
          <cell r="M1342">
            <v>-9834.85</v>
          </cell>
          <cell r="N1342">
            <v>0</v>
          </cell>
          <cell r="O1342">
            <v>0</v>
          </cell>
          <cell r="P1342">
            <v>0</v>
          </cell>
          <cell r="Q1342">
            <v>0</v>
          </cell>
          <cell r="R1342">
            <v>0</v>
          </cell>
          <cell r="S1342">
            <v>0</v>
          </cell>
          <cell r="T1342">
            <v>0</v>
          </cell>
          <cell r="U1342">
            <v>0</v>
          </cell>
          <cell r="V1342">
            <v>-2838.36</v>
          </cell>
          <cell r="W1342">
            <v>0</v>
          </cell>
          <cell r="X1342">
            <v>0</v>
          </cell>
          <cell r="Y1342">
            <v>0</v>
          </cell>
          <cell r="Z1342">
            <v>0</v>
          </cell>
          <cell r="AA1342">
            <v>0</v>
          </cell>
          <cell r="AB1342">
            <v>0</v>
          </cell>
          <cell r="AC1342">
            <v>0</v>
          </cell>
          <cell r="AD1342">
            <v>0</v>
          </cell>
          <cell r="AE1342">
            <v>0</v>
          </cell>
          <cell r="AF1342">
            <v>0</v>
          </cell>
        </row>
        <row r="1343">
          <cell r="A1343">
            <v>3200017</v>
          </cell>
          <cell r="H1343">
            <v>30240</v>
          </cell>
          <cell r="K1343">
            <v>0</v>
          </cell>
          <cell r="L1343">
            <v>0</v>
          </cell>
          <cell r="M1343">
            <v>0</v>
          </cell>
          <cell r="N1343">
            <v>0</v>
          </cell>
          <cell r="O1343">
            <v>0</v>
          </cell>
          <cell r="P1343">
            <v>0</v>
          </cell>
          <cell r="Q1343">
            <v>0</v>
          </cell>
          <cell r="R1343">
            <v>0</v>
          </cell>
          <cell r="S1343">
            <v>0</v>
          </cell>
          <cell r="T1343">
            <v>0</v>
          </cell>
          <cell r="U1343">
            <v>0</v>
          </cell>
          <cell r="V1343">
            <v>0</v>
          </cell>
          <cell r="W1343">
            <v>0</v>
          </cell>
          <cell r="X1343">
            <v>0</v>
          </cell>
          <cell r="Y1343">
            <v>0</v>
          </cell>
          <cell r="Z1343">
            <v>0</v>
          </cell>
          <cell r="AA1343">
            <v>0</v>
          </cell>
          <cell r="AB1343">
            <v>0</v>
          </cell>
          <cell r="AC1343">
            <v>0</v>
          </cell>
          <cell r="AD1343">
            <v>0</v>
          </cell>
          <cell r="AE1343">
            <v>0</v>
          </cell>
          <cell r="AF1343">
            <v>0</v>
          </cell>
        </row>
        <row r="1344">
          <cell r="A1344">
            <v>3200017</v>
          </cell>
          <cell r="H1344">
            <v>30240</v>
          </cell>
          <cell r="K1344">
            <v>0</v>
          </cell>
          <cell r="L1344">
            <v>0</v>
          </cell>
          <cell r="M1344">
            <v>-12673.21</v>
          </cell>
          <cell r="N1344">
            <v>0</v>
          </cell>
          <cell r="O1344">
            <v>0</v>
          </cell>
          <cell r="P1344">
            <v>0</v>
          </cell>
          <cell r="Q1344">
            <v>0</v>
          </cell>
          <cell r="R1344">
            <v>0</v>
          </cell>
          <cell r="S1344">
            <v>0</v>
          </cell>
          <cell r="T1344">
            <v>0</v>
          </cell>
          <cell r="U1344">
            <v>0</v>
          </cell>
          <cell r="V1344">
            <v>-2443.54</v>
          </cell>
          <cell r="W1344">
            <v>0</v>
          </cell>
          <cell r="X1344">
            <v>0</v>
          </cell>
          <cell r="Y1344">
            <v>0</v>
          </cell>
          <cell r="Z1344">
            <v>0</v>
          </cell>
          <cell r="AA1344">
            <v>0</v>
          </cell>
          <cell r="AB1344">
            <v>0</v>
          </cell>
          <cell r="AC1344">
            <v>0</v>
          </cell>
          <cell r="AD1344">
            <v>0</v>
          </cell>
          <cell r="AE1344">
            <v>0</v>
          </cell>
          <cell r="AF1344">
            <v>0</v>
          </cell>
        </row>
        <row r="1345">
          <cell r="A1345">
            <v>3200017</v>
          </cell>
          <cell r="H1345">
            <v>30240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cell r="AE1345">
            <v>0</v>
          </cell>
          <cell r="AF1345">
            <v>0</v>
          </cell>
        </row>
        <row r="1346">
          <cell r="A1346">
            <v>3200018</v>
          </cell>
          <cell r="B1346" t="str">
            <v>3200018</v>
          </cell>
          <cell r="G1346" t="str">
            <v>COMMUNICATION EQUIPMENT</v>
          </cell>
          <cell r="H1346">
            <v>0</v>
          </cell>
          <cell r="K1346">
            <v>0</v>
          </cell>
          <cell r="L1346">
            <v>0</v>
          </cell>
          <cell r="M1346">
            <v>0</v>
          </cell>
          <cell r="N1346">
            <v>0</v>
          </cell>
          <cell r="O1346">
            <v>0</v>
          </cell>
          <cell r="P1346">
            <v>0</v>
          </cell>
          <cell r="Q1346">
            <v>0</v>
          </cell>
          <cell r="R1346">
            <v>0</v>
          </cell>
          <cell r="S1346">
            <v>0</v>
          </cell>
          <cell r="T1346">
            <v>0</v>
          </cell>
          <cell r="U1346">
            <v>0</v>
          </cell>
          <cell r="V1346">
            <v>-1640.62</v>
          </cell>
          <cell r="W1346">
            <v>0</v>
          </cell>
          <cell r="X1346">
            <v>0</v>
          </cell>
          <cell r="Y1346">
            <v>0</v>
          </cell>
          <cell r="Z1346">
            <v>0</v>
          </cell>
          <cell r="AA1346">
            <v>0</v>
          </cell>
          <cell r="AB1346">
            <v>15000</v>
          </cell>
          <cell r="AC1346">
            <v>0</v>
          </cell>
          <cell r="AD1346">
            <v>0</v>
          </cell>
          <cell r="AE1346">
            <v>0</v>
          </cell>
          <cell r="AF1346">
            <v>0</v>
          </cell>
        </row>
        <row r="1347">
          <cell r="A1347">
            <v>3200018</v>
          </cell>
          <cell r="H1347">
            <v>0</v>
          </cell>
          <cell r="K1347">
            <v>0</v>
          </cell>
          <cell r="L1347">
            <v>0</v>
          </cell>
          <cell r="M1347">
            <v>0</v>
          </cell>
          <cell r="N1347">
            <v>0</v>
          </cell>
          <cell r="O1347">
            <v>0</v>
          </cell>
          <cell r="P1347">
            <v>0</v>
          </cell>
          <cell r="Q1347">
            <v>0</v>
          </cell>
          <cell r="R1347">
            <v>0</v>
          </cell>
          <cell r="S1347">
            <v>0</v>
          </cell>
          <cell r="T1347">
            <v>0</v>
          </cell>
          <cell r="U1347">
            <v>0</v>
          </cell>
          <cell r="V1347">
            <v>-3125</v>
          </cell>
          <cell r="W1347">
            <v>0</v>
          </cell>
          <cell r="X1347">
            <v>0</v>
          </cell>
          <cell r="Y1347">
            <v>0</v>
          </cell>
          <cell r="Z1347">
            <v>0</v>
          </cell>
          <cell r="AA1347">
            <v>0</v>
          </cell>
          <cell r="AB1347">
            <v>15000</v>
          </cell>
          <cell r="AC1347">
            <v>0</v>
          </cell>
          <cell r="AD1347">
            <v>0</v>
          </cell>
          <cell r="AE1347">
            <v>0</v>
          </cell>
          <cell r="AF1347">
            <v>0</v>
          </cell>
        </row>
        <row r="1348">
          <cell r="A1348">
            <v>3200018</v>
          </cell>
          <cell r="H1348">
            <v>15000</v>
          </cell>
          <cell r="K1348">
            <v>0</v>
          </cell>
          <cell r="L1348">
            <v>0</v>
          </cell>
          <cell r="M1348">
            <v>-1640.62</v>
          </cell>
          <cell r="N1348">
            <v>0</v>
          </cell>
          <cell r="O1348">
            <v>0</v>
          </cell>
          <cell r="P1348">
            <v>0</v>
          </cell>
          <cell r="Q1348">
            <v>0</v>
          </cell>
          <cell r="R1348">
            <v>0</v>
          </cell>
          <cell r="S1348">
            <v>0</v>
          </cell>
          <cell r="T1348">
            <v>0</v>
          </cell>
          <cell r="U1348">
            <v>0</v>
          </cell>
          <cell r="V1348">
            <v>-1858.29</v>
          </cell>
          <cell r="W1348">
            <v>0</v>
          </cell>
          <cell r="X1348">
            <v>0</v>
          </cell>
          <cell r="Y1348">
            <v>0</v>
          </cell>
          <cell r="Z1348">
            <v>0</v>
          </cell>
          <cell r="AA1348">
            <v>0</v>
          </cell>
          <cell r="AB1348">
            <v>0</v>
          </cell>
          <cell r="AC1348">
            <v>0</v>
          </cell>
          <cell r="AD1348">
            <v>0</v>
          </cell>
          <cell r="AE1348">
            <v>0</v>
          </cell>
          <cell r="AF1348">
            <v>0</v>
          </cell>
        </row>
        <row r="1349">
          <cell r="A1349">
            <v>3200018</v>
          </cell>
          <cell r="H1349">
            <v>15000</v>
          </cell>
          <cell r="K1349">
            <v>0</v>
          </cell>
          <cell r="L1349">
            <v>0</v>
          </cell>
          <cell r="M1349">
            <v>-3125</v>
          </cell>
          <cell r="N1349">
            <v>0</v>
          </cell>
          <cell r="O1349">
            <v>0</v>
          </cell>
          <cell r="P1349">
            <v>0</v>
          </cell>
          <cell r="Q1349">
            <v>0</v>
          </cell>
          <cell r="R1349">
            <v>0</v>
          </cell>
          <cell r="S1349">
            <v>0</v>
          </cell>
          <cell r="T1349">
            <v>0</v>
          </cell>
          <cell r="U1349">
            <v>0</v>
          </cell>
          <cell r="V1349">
            <v>-2968.75</v>
          </cell>
          <cell r="W1349">
            <v>0</v>
          </cell>
          <cell r="X1349">
            <v>0</v>
          </cell>
          <cell r="Y1349">
            <v>0</v>
          </cell>
          <cell r="Z1349">
            <v>0</v>
          </cell>
          <cell r="AA1349">
            <v>0</v>
          </cell>
          <cell r="AB1349">
            <v>0</v>
          </cell>
          <cell r="AC1349">
            <v>0</v>
          </cell>
          <cell r="AD1349">
            <v>0</v>
          </cell>
          <cell r="AE1349">
            <v>0</v>
          </cell>
          <cell r="AF1349">
            <v>0</v>
          </cell>
        </row>
        <row r="1350">
          <cell r="A1350">
            <v>3200019</v>
          </cell>
          <cell r="B1350" t="str">
            <v>3200019</v>
          </cell>
          <cell r="G1350" t="str">
            <v>MOBILE PHONE-BRIJESH PATEL (NOKIA 6020)</v>
          </cell>
        </row>
        <row r="1351">
          <cell r="A1351">
            <v>3200020</v>
          </cell>
          <cell r="B1351" t="str">
            <v>3200020</v>
          </cell>
          <cell r="G1351" t="str">
            <v>Nokia Mobile 1100 (Biren)</v>
          </cell>
          <cell r="H1351">
            <v>0</v>
          </cell>
          <cell r="K1351">
            <v>0</v>
          </cell>
          <cell r="L1351">
            <v>0</v>
          </cell>
          <cell r="M1351">
            <v>0</v>
          </cell>
          <cell r="N1351">
            <v>0</v>
          </cell>
          <cell r="O1351">
            <v>0</v>
          </cell>
          <cell r="P1351">
            <v>0</v>
          </cell>
          <cell r="Q1351">
            <v>0</v>
          </cell>
          <cell r="R1351">
            <v>0</v>
          </cell>
          <cell r="S1351">
            <v>0</v>
          </cell>
          <cell r="T1351">
            <v>0</v>
          </cell>
          <cell r="U1351">
            <v>0</v>
          </cell>
          <cell r="V1351">
            <v>-163.49</v>
          </cell>
          <cell r="W1351">
            <v>0</v>
          </cell>
          <cell r="X1351">
            <v>0</v>
          </cell>
          <cell r="Y1351">
            <v>0</v>
          </cell>
          <cell r="Z1351">
            <v>0</v>
          </cell>
          <cell r="AA1351">
            <v>0</v>
          </cell>
          <cell r="AB1351">
            <v>2600</v>
          </cell>
          <cell r="AC1351">
            <v>0</v>
          </cell>
          <cell r="AD1351">
            <v>0</v>
          </cell>
          <cell r="AE1351">
            <v>0</v>
          </cell>
          <cell r="AF1351">
            <v>0</v>
          </cell>
        </row>
        <row r="1352">
          <cell r="A1352">
            <v>3200020</v>
          </cell>
          <cell r="H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v>0</v>
          </cell>
          <cell r="Z1352">
            <v>0</v>
          </cell>
          <cell r="AA1352">
            <v>0</v>
          </cell>
          <cell r="AB1352">
            <v>2600</v>
          </cell>
          <cell r="AC1352">
            <v>0</v>
          </cell>
          <cell r="AD1352">
            <v>0</v>
          </cell>
          <cell r="AE1352">
            <v>0</v>
          </cell>
          <cell r="AF1352">
            <v>0</v>
          </cell>
        </row>
        <row r="1353">
          <cell r="A1353">
            <v>3200020</v>
          </cell>
          <cell r="H1353">
            <v>2600</v>
          </cell>
          <cell r="K1353">
            <v>0</v>
          </cell>
          <cell r="L1353">
            <v>0</v>
          </cell>
          <cell r="M1353">
            <v>-163.49</v>
          </cell>
          <cell r="N1353">
            <v>0</v>
          </cell>
          <cell r="O1353">
            <v>0</v>
          </cell>
          <cell r="P1353">
            <v>0</v>
          </cell>
          <cell r="Q1353">
            <v>0</v>
          </cell>
          <cell r="R1353">
            <v>0</v>
          </cell>
          <cell r="S1353">
            <v>0</v>
          </cell>
          <cell r="T1353">
            <v>0</v>
          </cell>
          <cell r="U1353">
            <v>0</v>
          </cell>
          <cell r="V1353">
            <v>-338.92</v>
          </cell>
          <cell r="W1353">
            <v>0</v>
          </cell>
          <cell r="X1353">
            <v>0</v>
          </cell>
          <cell r="Y1353">
            <v>0</v>
          </cell>
          <cell r="Z1353">
            <v>0</v>
          </cell>
          <cell r="AA1353">
            <v>0</v>
          </cell>
          <cell r="AB1353">
            <v>0</v>
          </cell>
          <cell r="AC1353">
            <v>0</v>
          </cell>
          <cell r="AD1353">
            <v>0</v>
          </cell>
          <cell r="AE1353">
            <v>0</v>
          </cell>
          <cell r="AF1353">
            <v>0</v>
          </cell>
        </row>
        <row r="1354">
          <cell r="A1354">
            <v>3200020</v>
          </cell>
          <cell r="H1354">
            <v>2600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v>0</v>
          </cell>
          <cell r="Z1354">
            <v>0</v>
          </cell>
          <cell r="AA1354">
            <v>0</v>
          </cell>
          <cell r="AB1354">
            <v>0</v>
          </cell>
          <cell r="AC1354">
            <v>0</v>
          </cell>
          <cell r="AD1354">
            <v>0</v>
          </cell>
          <cell r="AE1354">
            <v>0</v>
          </cell>
          <cell r="AF1354">
            <v>0</v>
          </cell>
        </row>
        <row r="1355">
          <cell r="A1355">
            <v>3200021</v>
          </cell>
          <cell r="B1355" t="str">
            <v>3200021</v>
          </cell>
          <cell r="G1355" t="str">
            <v>NOKIA MOBILE PHONE(2600)</v>
          </cell>
          <cell r="H1355">
            <v>0</v>
          </cell>
          <cell r="K1355">
            <v>0</v>
          </cell>
          <cell r="L1355">
            <v>0</v>
          </cell>
          <cell r="M1355">
            <v>0</v>
          </cell>
          <cell r="N1355">
            <v>0</v>
          </cell>
          <cell r="O1355">
            <v>0</v>
          </cell>
          <cell r="P1355">
            <v>0</v>
          </cell>
          <cell r="Q1355">
            <v>0</v>
          </cell>
          <cell r="R1355">
            <v>0</v>
          </cell>
          <cell r="S1355">
            <v>0</v>
          </cell>
          <cell r="T1355">
            <v>0</v>
          </cell>
          <cell r="U1355">
            <v>0</v>
          </cell>
          <cell r="V1355">
            <v>-3300</v>
          </cell>
          <cell r="W1355">
            <v>0</v>
          </cell>
          <cell r="X1355">
            <v>0</v>
          </cell>
          <cell r="Y1355">
            <v>0</v>
          </cell>
          <cell r="Z1355">
            <v>0</v>
          </cell>
          <cell r="AA1355">
            <v>0</v>
          </cell>
          <cell r="AB1355">
            <v>3300</v>
          </cell>
          <cell r="AC1355">
            <v>0</v>
          </cell>
          <cell r="AD1355">
            <v>0</v>
          </cell>
          <cell r="AE1355">
            <v>0</v>
          </cell>
          <cell r="AF1355">
            <v>0</v>
          </cell>
        </row>
        <row r="1356">
          <cell r="A1356">
            <v>3200021</v>
          </cell>
          <cell r="H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v>0</v>
          </cell>
          <cell r="Z1356">
            <v>0</v>
          </cell>
          <cell r="AA1356">
            <v>0</v>
          </cell>
          <cell r="AB1356">
            <v>3300</v>
          </cell>
          <cell r="AC1356">
            <v>0</v>
          </cell>
          <cell r="AD1356">
            <v>0</v>
          </cell>
          <cell r="AE1356">
            <v>0</v>
          </cell>
          <cell r="AF1356">
            <v>0</v>
          </cell>
        </row>
        <row r="1357">
          <cell r="A1357">
            <v>3200021</v>
          </cell>
          <cell r="H1357">
            <v>3300</v>
          </cell>
          <cell r="K1357">
            <v>0</v>
          </cell>
          <cell r="L1357">
            <v>0</v>
          </cell>
          <cell r="M1357">
            <v>-3300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cell r="AD1357">
            <v>0</v>
          </cell>
          <cell r="AE1357">
            <v>0</v>
          </cell>
          <cell r="AF1357">
            <v>0</v>
          </cell>
        </row>
        <row r="1358">
          <cell r="A1358">
            <v>3200021</v>
          </cell>
          <cell r="H1358">
            <v>3300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cell r="AE1358">
            <v>0</v>
          </cell>
          <cell r="AF1358">
            <v>0</v>
          </cell>
        </row>
        <row r="1359">
          <cell r="A1359">
            <v>3200022</v>
          </cell>
          <cell r="B1359" t="str">
            <v>3200022</v>
          </cell>
          <cell r="G1359" t="str">
            <v>Panasonic Cordless Phone</v>
          </cell>
          <cell r="H1359">
            <v>0</v>
          </cell>
          <cell r="K1359">
            <v>0</v>
          </cell>
          <cell r="L1359">
            <v>0</v>
          </cell>
          <cell r="M1359">
            <v>0</v>
          </cell>
          <cell r="N1359">
            <v>0</v>
          </cell>
          <cell r="O1359">
            <v>0</v>
          </cell>
          <cell r="P1359">
            <v>0</v>
          </cell>
          <cell r="Q1359">
            <v>0</v>
          </cell>
          <cell r="R1359">
            <v>0</v>
          </cell>
          <cell r="S1359">
            <v>0</v>
          </cell>
          <cell r="T1359">
            <v>0</v>
          </cell>
          <cell r="U1359">
            <v>0</v>
          </cell>
          <cell r="V1359">
            <v>-433.47</v>
          </cell>
          <cell r="W1359">
            <v>0</v>
          </cell>
          <cell r="X1359">
            <v>0</v>
          </cell>
          <cell r="Y1359">
            <v>0</v>
          </cell>
          <cell r="Z1359">
            <v>0</v>
          </cell>
          <cell r="AA1359">
            <v>0</v>
          </cell>
          <cell r="AB1359">
            <v>3599.44</v>
          </cell>
          <cell r="AC1359">
            <v>0</v>
          </cell>
          <cell r="AD1359">
            <v>0</v>
          </cell>
          <cell r="AE1359">
            <v>0</v>
          </cell>
          <cell r="AF1359">
            <v>0</v>
          </cell>
        </row>
        <row r="1360">
          <cell r="A1360">
            <v>3200022</v>
          </cell>
          <cell r="H1360">
            <v>0</v>
          </cell>
          <cell r="K1360">
            <v>0</v>
          </cell>
          <cell r="L1360">
            <v>0</v>
          </cell>
          <cell r="M1360">
            <v>0</v>
          </cell>
          <cell r="N1360">
            <v>0</v>
          </cell>
          <cell r="O1360">
            <v>0</v>
          </cell>
          <cell r="P1360">
            <v>0</v>
          </cell>
          <cell r="Q1360">
            <v>0</v>
          </cell>
          <cell r="R1360">
            <v>0</v>
          </cell>
          <cell r="S1360">
            <v>0</v>
          </cell>
          <cell r="T1360">
            <v>0</v>
          </cell>
          <cell r="U1360">
            <v>0</v>
          </cell>
          <cell r="V1360">
            <v>0</v>
          </cell>
          <cell r="W1360">
            <v>0</v>
          </cell>
          <cell r="X1360">
            <v>0</v>
          </cell>
          <cell r="Y1360">
            <v>0</v>
          </cell>
          <cell r="Z1360">
            <v>0</v>
          </cell>
          <cell r="AA1360">
            <v>0</v>
          </cell>
          <cell r="AB1360">
            <v>3599.44</v>
          </cell>
          <cell r="AC1360">
            <v>0</v>
          </cell>
          <cell r="AD1360">
            <v>0</v>
          </cell>
          <cell r="AE1360">
            <v>0</v>
          </cell>
          <cell r="AF1360">
            <v>0</v>
          </cell>
        </row>
        <row r="1361">
          <cell r="A1361">
            <v>3200023</v>
          </cell>
          <cell r="B1361" t="str">
            <v>3200023</v>
          </cell>
          <cell r="G1361" t="str">
            <v>NOKIA PHONE 3230</v>
          </cell>
          <cell r="H1361">
            <v>0</v>
          </cell>
          <cell r="K1361">
            <v>0</v>
          </cell>
          <cell r="L1361">
            <v>0</v>
          </cell>
          <cell r="M1361">
            <v>0</v>
          </cell>
          <cell r="N1361">
            <v>0</v>
          </cell>
          <cell r="O1361">
            <v>0</v>
          </cell>
          <cell r="P1361">
            <v>0</v>
          </cell>
          <cell r="Q1361">
            <v>0</v>
          </cell>
          <cell r="R1361">
            <v>0</v>
          </cell>
          <cell r="S1361">
            <v>0</v>
          </cell>
          <cell r="T1361">
            <v>0</v>
          </cell>
          <cell r="U1361">
            <v>0</v>
          </cell>
          <cell r="V1361">
            <v>-1308.8399999999999</v>
          </cell>
          <cell r="W1361">
            <v>0</v>
          </cell>
          <cell r="X1361">
            <v>0</v>
          </cell>
          <cell r="Y1361">
            <v>0</v>
          </cell>
          <cell r="Z1361">
            <v>0</v>
          </cell>
          <cell r="AA1361">
            <v>0</v>
          </cell>
          <cell r="AB1361">
            <v>10800</v>
          </cell>
          <cell r="AC1361">
            <v>0</v>
          </cell>
          <cell r="AD1361">
            <v>0</v>
          </cell>
          <cell r="AE1361">
            <v>0</v>
          </cell>
          <cell r="AF1361">
            <v>0</v>
          </cell>
        </row>
        <row r="1362">
          <cell r="A1362">
            <v>3200023</v>
          </cell>
          <cell r="H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v>0</v>
          </cell>
          <cell r="Z1362">
            <v>0</v>
          </cell>
          <cell r="AA1362">
            <v>0</v>
          </cell>
          <cell r="AB1362">
            <v>10800</v>
          </cell>
          <cell r="AC1362">
            <v>0</v>
          </cell>
          <cell r="AD1362">
            <v>0</v>
          </cell>
          <cell r="AE1362">
            <v>0</v>
          </cell>
          <cell r="AF1362">
            <v>0</v>
          </cell>
        </row>
        <row r="1363">
          <cell r="A1363">
            <v>3200024</v>
          </cell>
          <cell r="B1363" t="str">
            <v>3200024</v>
          </cell>
          <cell r="G1363" t="str">
            <v>Mobile phone</v>
          </cell>
          <cell r="H1363">
            <v>0</v>
          </cell>
          <cell r="K1363">
            <v>0</v>
          </cell>
          <cell r="L1363">
            <v>0</v>
          </cell>
          <cell r="M1363">
            <v>0</v>
          </cell>
          <cell r="N1363">
            <v>0</v>
          </cell>
          <cell r="O1363">
            <v>0</v>
          </cell>
          <cell r="P1363">
            <v>0</v>
          </cell>
          <cell r="Q1363">
            <v>0</v>
          </cell>
          <cell r="R1363">
            <v>0</v>
          </cell>
          <cell r="S1363">
            <v>0</v>
          </cell>
          <cell r="T1363">
            <v>0</v>
          </cell>
          <cell r="U1363">
            <v>0</v>
          </cell>
          <cell r="V1363">
            <v>-282.97000000000003</v>
          </cell>
          <cell r="W1363">
            <v>0</v>
          </cell>
          <cell r="X1363">
            <v>0</v>
          </cell>
          <cell r="Y1363">
            <v>0</v>
          </cell>
          <cell r="Z1363">
            <v>0</v>
          </cell>
          <cell r="AA1363">
            <v>0</v>
          </cell>
          <cell r="AB1363">
            <v>2750</v>
          </cell>
          <cell r="AC1363">
            <v>0</v>
          </cell>
          <cell r="AD1363">
            <v>0</v>
          </cell>
          <cell r="AE1363">
            <v>0</v>
          </cell>
          <cell r="AF1363">
            <v>0</v>
          </cell>
        </row>
        <row r="1364">
          <cell r="A1364">
            <v>3200024</v>
          </cell>
          <cell r="H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2750</v>
          </cell>
          <cell r="AC1364">
            <v>0</v>
          </cell>
          <cell r="AD1364">
            <v>0</v>
          </cell>
          <cell r="AE1364">
            <v>0</v>
          </cell>
          <cell r="AF1364">
            <v>0</v>
          </cell>
        </row>
        <row r="1365">
          <cell r="A1365">
            <v>3200024</v>
          </cell>
          <cell r="H1365">
            <v>2750</v>
          </cell>
          <cell r="K1365">
            <v>0</v>
          </cell>
          <cell r="L1365">
            <v>0</v>
          </cell>
          <cell r="M1365">
            <v>-282.97000000000003</v>
          </cell>
          <cell r="N1365">
            <v>0</v>
          </cell>
          <cell r="O1365">
            <v>0</v>
          </cell>
          <cell r="P1365">
            <v>0</v>
          </cell>
          <cell r="Q1365">
            <v>0</v>
          </cell>
          <cell r="R1365">
            <v>0</v>
          </cell>
          <cell r="S1365">
            <v>0</v>
          </cell>
          <cell r="T1365">
            <v>0</v>
          </cell>
          <cell r="U1365">
            <v>0</v>
          </cell>
          <cell r="V1365">
            <v>-343.16</v>
          </cell>
          <cell r="W1365">
            <v>0</v>
          </cell>
          <cell r="X1365">
            <v>0</v>
          </cell>
          <cell r="Y1365">
            <v>0</v>
          </cell>
          <cell r="Z1365">
            <v>0</v>
          </cell>
          <cell r="AA1365">
            <v>0</v>
          </cell>
          <cell r="AB1365">
            <v>0</v>
          </cell>
          <cell r="AC1365">
            <v>0</v>
          </cell>
          <cell r="AD1365">
            <v>0</v>
          </cell>
          <cell r="AE1365">
            <v>0</v>
          </cell>
          <cell r="AF1365">
            <v>0</v>
          </cell>
        </row>
        <row r="1366">
          <cell r="A1366">
            <v>3200024</v>
          </cell>
          <cell r="H1366">
            <v>2750</v>
          </cell>
          <cell r="K1366">
            <v>0</v>
          </cell>
          <cell r="L1366">
            <v>0</v>
          </cell>
          <cell r="M1366">
            <v>0</v>
          </cell>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cell r="AD1366">
            <v>0</v>
          </cell>
          <cell r="AE1366">
            <v>0</v>
          </cell>
          <cell r="AF1366">
            <v>0</v>
          </cell>
        </row>
        <row r="1367">
          <cell r="A1367">
            <v>3200025</v>
          </cell>
          <cell r="B1367" t="str">
            <v>3200025</v>
          </cell>
          <cell r="G1367" t="str">
            <v>Nokia Phone (6600)</v>
          </cell>
          <cell r="H1367">
            <v>0</v>
          </cell>
          <cell r="K1367">
            <v>0</v>
          </cell>
          <cell r="L1367">
            <v>0</v>
          </cell>
          <cell r="M1367">
            <v>0</v>
          </cell>
          <cell r="N1367">
            <v>0</v>
          </cell>
          <cell r="O1367">
            <v>0</v>
          </cell>
          <cell r="P1367">
            <v>0</v>
          </cell>
          <cell r="Q1367">
            <v>0</v>
          </cell>
          <cell r="R1367">
            <v>0</v>
          </cell>
          <cell r="S1367">
            <v>0</v>
          </cell>
          <cell r="T1367">
            <v>0</v>
          </cell>
          <cell r="U1367">
            <v>0</v>
          </cell>
          <cell r="V1367">
            <v>-1181.4000000000001</v>
          </cell>
          <cell r="W1367">
            <v>0</v>
          </cell>
          <cell r="X1367">
            <v>0</v>
          </cell>
          <cell r="Y1367">
            <v>0</v>
          </cell>
          <cell r="Z1367">
            <v>0</v>
          </cell>
          <cell r="AA1367">
            <v>0</v>
          </cell>
          <cell r="AB1367">
            <v>10000</v>
          </cell>
          <cell r="AC1367">
            <v>0</v>
          </cell>
          <cell r="AD1367">
            <v>0</v>
          </cell>
          <cell r="AE1367">
            <v>0</v>
          </cell>
          <cell r="AF1367">
            <v>0</v>
          </cell>
        </row>
        <row r="1368">
          <cell r="A1368">
            <v>3200025</v>
          </cell>
          <cell r="H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cell r="AB1368">
            <v>10000</v>
          </cell>
          <cell r="AC1368">
            <v>0</v>
          </cell>
          <cell r="AD1368">
            <v>0</v>
          </cell>
          <cell r="AE1368">
            <v>0</v>
          </cell>
          <cell r="AF1368">
            <v>0</v>
          </cell>
        </row>
        <row r="1369">
          <cell r="A1369">
            <v>3200026</v>
          </cell>
          <cell r="H1369">
            <v>0</v>
          </cell>
          <cell r="K1369">
            <v>0</v>
          </cell>
          <cell r="L1369">
            <v>0</v>
          </cell>
          <cell r="M1369">
            <v>0</v>
          </cell>
          <cell r="N1369">
            <v>0</v>
          </cell>
          <cell r="O1369">
            <v>0</v>
          </cell>
          <cell r="P1369">
            <v>0</v>
          </cell>
          <cell r="Q1369">
            <v>0</v>
          </cell>
          <cell r="R1369">
            <v>0</v>
          </cell>
          <cell r="S1369">
            <v>0</v>
          </cell>
          <cell r="T1369">
            <v>0</v>
          </cell>
          <cell r="U1369">
            <v>0</v>
          </cell>
          <cell r="V1369">
            <v>-692.6</v>
          </cell>
          <cell r="W1369">
            <v>0</v>
          </cell>
          <cell r="X1369">
            <v>0</v>
          </cell>
          <cell r="Y1369">
            <v>0</v>
          </cell>
          <cell r="Z1369">
            <v>0</v>
          </cell>
          <cell r="AA1369">
            <v>0</v>
          </cell>
          <cell r="AB1369">
            <v>7800</v>
          </cell>
          <cell r="AC1369">
            <v>0</v>
          </cell>
          <cell r="AD1369">
            <v>0</v>
          </cell>
          <cell r="AE1369">
            <v>0</v>
          </cell>
          <cell r="AF1369">
            <v>0</v>
          </cell>
        </row>
        <row r="1370">
          <cell r="A1370">
            <v>3200026</v>
          </cell>
          <cell r="H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7800</v>
          </cell>
          <cell r="AC1370">
            <v>0</v>
          </cell>
          <cell r="AD1370">
            <v>0</v>
          </cell>
          <cell r="AE1370">
            <v>0</v>
          </cell>
          <cell r="AF1370">
            <v>0</v>
          </cell>
        </row>
        <row r="1371">
          <cell r="A1371">
            <v>3200026</v>
          </cell>
          <cell r="B1371" t="str">
            <v>3200026</v>
          </cell>
          <cell r="G1371" t="str">
            <v>Mobile Phone</v>
          </cell>
          <cell r="H1371">
            <v>7800</v>
          </cell>
          <cell r="K1371">
            <v>0</v>
          </cell>
          <cell r="L1371">
            <v>0</v>
          </cell>
          <cell r="M1371">
            <v>-692.6</v>
          </cell>
          <cell r="N1371">
            <v>0</v>
          </cell>
          <cell r="O1371">
            <v>0</v>
          </cell>
          <cell r="P1371">
            <v>0</v>
          </cell>
          <cell r="Q1371">
            <v>0</v>
          </cell>
          <cell r="R1371">
            <v>0</v>
          </cell>
          <cell r="S1371">
            <v>0</v>
          </cell>
          <cell r="T1371">
            <v>0</v>
          </cell>
          <cell r="U1371">
            <v>0</v>
          </cell>
          <cell r="V1371">
            <v>-988.64</v>
          </cell>
          <cell r="W1371">
            <v>0</v>
          </cell>
          <cell r="X1371">
            <v>0</v>
          </cell>
          <cell r="Y1371">
            <v>0</v>
          </cell>
          <cell r="Z1371">
            <v>0</v>
          </cell>
          <cell r="AA1371">
            <v>0</v>
          </cell>
          <cell r="AB1371">
            <v>0</v>
          </cell>
          <cell r="AC1371">
            <v>0</v>
          </cell>
          <cell r="AD1371">
            <v>0</v>
          </cell>
          <cell r="AE1371">
            <v>0</v>
          </cell>
          <cell r="AF1371">
            <v>0</v>
          </cell>
        </row>
        <row r="1372">
          <cell r="A1372">
            <v>3200026</v>
          </cell>
          <cell r="H1372">
            <v>7800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cell r="AD1372">
            <v>0</v>
          </cell>
          <cell r="AE1372">
            <v>0</v>
          </cell>
          <cell r="AF1372">
            <v>0</v>
          </cell>
        </row>
        <row r="1373">
          <cell r="A1373">
            <v>3200027</v>
          </cell>
          <cell r="B1373" t="str">
            <v>3200027</v>
          </cell>
          <cell r="G1373" t="str">
            <v>NOKIA-6020 -BIREN</v>
          </cell>
          <cell r="H1373">
            <v>0</v>
          </cell>
          <cell r="K1373">
            <v>0</v>
          </cell>
          <cell r="L1373">
            <v>0</v>
          </cell>
          <cell r="M1373">
            <v>0</v>
          </cell>
          <cell r="N1373">
            <v>0</v>
          </cell>
          <cell r="O1373">
            <v>0</v>
          </cell>
          <cell r="P1373">
            <v>0</v>
          </cell>
          <cell r="Q1373">
            <v>0</v>
          </cell>
          <cell r="R1373">
            <v>0</v>
          </cell>
          <cell r="S1373">
            <v>0</v>
          </cell>
          <cell r="T1373">
            <v>0</v>
          </cell>
          <cell r="U1373">
            <v>0</v>
          </cell>
          <cell r="V1373">
            <v>-547.05999999999995</v>
          </cell>
          <cell r="W1373">
            <v>0</v>
          </cell>
          <cell r="X1373">
            <v>0</v>
          </cell>
          <cell r="Y1373">
            <v>0</v>
          </cell>
          <cell r="Z1373">
            <v>0</v>
          </cell>
          <cell r="AA1373">
            <v>0</v>
          </cell>
          <cell r="AB1373">
            <v>5500</v>
          </cell>
          <cell r="AC1373">
            <v>0</v>
          </cell>
          <cell r="AD1373">
            <v>0</v>
          </cell>
          <cell r="AE1373">
            <v>0</v>
          </cell>
          <cell r="AF1373">
            <v>0</v>
          </cell>
        </row>
        <row r="1374">
          <cell r="A1374">
            <v>3200027</v>
          </cell>
          <cell r="H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5500</v>
          </cell>
          <cell r="AC1374">
            <v>0</v>
          </cell>
          <cell r="AD1374">
            <v>0</v>
          </cell>
          <cell r="AE1374">
            <v>0</v>
          </cell>
          <cell r="AF1374">
            <v>0</v>
          </cell>
        </row>
        <row r="1375">
          <cell r="A1375">
            <v>3200028</v>
          </cell>
          <cell r="B1375" t="str">
            <v>3200028</v>
          </cell>
          <cell r="G1375" t="str">
            <v>MOBILE PHONE-Gulshan</v>
          </cell>
        </row>
        <row r="1376">
          <cell r="A1376">
            <v>3200029</v>
          </cell>
          <cell r="B1376" t="str">
            <v>3200029</v>
          </cell>
          <cell r="G1376" t="str">
            <v>MOTOROLA -L7</v>
          </cell>
          <cell r="H1376">
            <v>0</v>
          </cell>
          <cell r="K1376">
            <v>0</v>
          </cell>
          <cell r="L1376">
            <v>0</v>
          </cell>
          <cell r="M1376">
            <v>0</v>
          </cell>
          <cell r="N1376">
            <v>0</v>
          </cell>
          <cell r="O1376">
            <v>0</v>
          </cell>
          <cell r="P1376">
            <v>0</v>
          </cell>
          <cell r="Q1376">
            <v>0</v>
          </cell>
          <cell r="R1376">
            <v>0</v>
          </cell>
          <cell r="S1376">
            <v>0</v>
          </cell>
          <cell r="T1376">
            <v>0</v>
          </cell>
          <cell r="U1376">
            <v>0</v>
          </cell>
          <cell r="V1376">
            <v>-747.02</v>
          </cell>
          <cell r="W1376">
            <v>0</v>
          </cell>
          <cell r="X1376">
            <v>0</v>
          </cell>
          <cell r="Y1376">
            <v>0</v>
          </cell>
          <cell r="Z1376">
            <v>0</v>
          </cell>
          <cell r="AA1376">
            <v>0</v>
          </cell>
          <cell r="AB1376">
            <v>8100</v>
          </cell>
          <cell r="AC1376">
            <v>0</v>
          </cell>
          <cell r="AD1376">
            <v>0</v>
          </cell>
          <cell r="AE1376">
            <v>0</v>
          </cell>
          <cell r="AF1376">
            <v>0</v>
          </cell>
        </row>
        <row r="1377">
          <cell r="A1377">
            <v>3200029</v>
          </cell>
          <cell r="H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8100</v>
          </cell>
          <cell r="AC1377">
            <v>0</v>
          </cell>
          <cell r="AD1377">
            <v>0</v>
          </cell>
          <cell r="AE1377">
            <v>0</v>
          </cell>
          <cell r="AF1377">
            <v>0</v>
          </cell>
        </row>
        <row r="1378">
          <cell r="A1378">
            <v>3200030</v>
          </cell>
          <cell r="B1378" t="str">
            <v>3200030</v>
          </cell>
          <cell r="G1378" t="str">
            <v>MOTOROLA -L7</v>
          </cell>
          <cell r="H1378">
            <v>0</v>
          </cell>
          <cell r="K1378">
            <v>0</v>
          </cell>
          <cell r="L1378">
            <v>0</v>
          </cell>
          <cell r="M1378">
            <v>0</v>
          </cell>
          <cell r="N1378">
            <v>0</v>
          </cell>
          <cell r="O1378">
            <v>0</v>
          </cell>
          <cell r="P1378">
            <v>0</v>
          </cell>
          <cell r="Q1378">
            <v>0</v>
          </cell>
          <cell r="R1378">
            <v>0</v>
          </cell>
          <cell r="S1378">
            <v>0</v>
          </cell>
          <cell r="T1378">
            <v>0</v>
          </cell>
          <cell r="U1378">
            <v>0</v>
          </cell>
          <cell r="V1378">
            <v>-728.5</v>
          </cell>
          <cell r="W1378">
            <v>0</v>
          </cell>
          <cell r="X1378">
            <v>0</v>
          </cell>
          <cell r="Y1378">
            <v>0</v>
          </cell>
          <cell r="Z1378">
            <v>0</v>
          </cell>
          <cell r="AA1378">
            <v>0</v>
          </cell>
          <cell r="AB1378">
            <v>8100</v>
          </cell>
          <cell r="AC1378">
            <v>0</v>
          </cell>
          <cell r="AD1378">
            <v>0</v>
          </cell>
          <cell r="AE1378">
            <v>0</v>
          </cell>
          <cell r="AF1378">
            <v>0</v>
          </cell>
        </row>
        <row r="1379">
          <cell r="A1379">
            <v>3200030</v>
          </cell>
          <cell r="H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8100</v>
          </cell>
          <cell r="AC1379">
            <v>0</v>
          </cell>
          <cell r="AD1379">
            <v>0</v>
          </cell>
          <cell r="AE1379">
            <v>0</v>
          </cell>
          <cell r="AF1379">
            <v>0</v>
          </cell>
        </row>
        <row r="1380">
          <cell r="A1380">
            <v>3200031</v>
          </cell>
          <cell r="B1380" t="str">
            <v>3200031</v>
          </cell>
          <cell r="G1380" t="str">
            <v>NOKIA-6020 - Jaydeep</v>
          </cell>
          <cell r="H1380">
            <v>0</v>
          </cell>
          <cell r="K1380">
            <v>0</v>
          </cell>
          <cell r="L1380">
            <v>0</v>
          </cell>
          <cell r="M1380">
            <v>0</v>
          </cell>
          <cell r="N1380">
            <v>0</v>
          </cell>
          <cell r="O1380">
            <v>0</v>
          </cell>
          <cell r="P1380">
            <v>0</v>
          </cell>
          <cell r="Q1380">
            <v>0</v>
          </cell>
          <cell r="R1380">
            <v>0</v>
          </cell>
          <cell r="S1380">
            <v>0</v>
          </cell>
          <cell r="T1380">
            <v>0</v>
          </cell>
          <cell r="U1380">
            <v>0</v>
          </cell>
          <cell r="V1380">
            <v>-402.44</v>
          </cell>
          <cell r="W1380">
            <v>0</v>
          </cell>
          <cell r="X1380">
            <v>0</v>
          </cell>
          <cell r="Y1380">
            <v>0</v>
          </cell>
          <cell r="Z1380">
            <v>0</v>
          </cell>
          <cell r="AA1380">
            <v>0</v>
          </cell>
          <cell r="AB1380">
            <v>5500</v>
          </cell>
          <cell r="AC1380">
            <v>0</v>
          </cell>
          <cell r="AD1380">
            <v>0</v>
          </cell>
          <cell r="AE1380">
            <v>0</v>
          </cell>
          <cell r="AF1380">
            <v>0</v>
          </cell>
        </row>
        <row r="1381">
          <cell r="A1381">
            <v>3200031</v>
          </cell>
          <cell r="H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5500</v>
          </cell>
          <cell r="AC1381">
            <v>0</v>
          </cell>
          <cell r="AD1381">
            <v>0</v>
          </cell>
          <cell r="AE1381">
            <v>0</v>
          </cell>
          <cell r="AF1381">
            <v>0</v>
          </cell>
        </row>
        <row r="1382">
          <cell r="A1382">
            <v>3200032</v>
          </cell>
          <cell r="B1382" t="str">
            <v>3200032</v>
          </cell>
          <cell r="G1382" t="str">
            <v>NOKIA PHONE 3230(Ayan das)</v>
          </cell>
          <cell r="H1382">
            <v>0</v>
          </cell>
          <cell r="K1382">
            <v>0</v>
          </cell>
          <cell r="L1382">
            <v>0</v>
          </cell>
          <cell r="M1382">
            <v>0</v>
          </cell>
          <cell r="N1382">
            <v>0</v>
          </cell>
          <cell r="O1382">
            <v>0</v>
          </cell>
          <cell r="P1382">
            <v>0</v>
          </cell>
          <cell r="Q1382">
            <v>0</v>
          </cell>
          <cell r="R1382">
            <v>0</v>
          </cell>
          <cell r="S1382">
            <v>0</v>
          </cell>
          <cell r="T1382">
            <v>0</v>
          </cell>
          <cell r="U1382">
            <v>0</v>
          </cell>
          <cell r="V1382">
            <v>-610.97</v>
          </cell>
          <cell r="W1382">
            <v>0</v>
          </cell>
          <cell r="X1382">
            <v>0</v>
          </cell>
          <cell r="Y1382">
            <v>0</v>
          </cell>
          <cell r="Z1382">
            <v>0</v>
          </cell>
          <cell r="AA1382">
            <v>0</v>
          </cell>
          <cell r="AB1382">
            <v>9600</v>
          </cell>
          <cell r="AC1382">
            <v>0</v>
          </cell>
          <cell r="AD1382">
            <v>0</v>
          </cell>
          <cell r="AE1382">
            <v>0</v>
          </cell>
          <cell r="AF1382">
            <v>0</v>
          </cell>
        </row>
        <row r="1383">
          <cell r="A1383">
            <v>3200032</v>
          </cell>
          <cell r="H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9600</v>
          </cell>
          <cell r="AC1383">
            <v>0</v>
          </cell>
          <cell r="AD1383">
            <v>0</v>
          </cell>
          <cell r="AE1383">
            <v>0</v>
          </cell>
          <cell r="AF1383">
            <v>0</v>
          </cell>
        </row>
        <row r="1384">
          <cell r="A1384">
            <v>3200033</v>
          </cell>
          <cell r="B1384" t="str">
            <v>3200033</v>
          </cell>
          <cell r="G1384" t="str">
            <v>Nokia Phone (6600)</v>
          </cell>
          <cell r="H1384">
            <v>0</v>
          </cell>
          <cell r="K1384">
            <v>0</v>
          </cell>
          <cell r="L1384">
            <v>0</v>
          </cell>
          <cell r="M1384">
            <v>0</v>
          </cell>
          <cell r="N1384">
            <v>0</v>
          </cell>
          <cell r="O1384">
            <v>0</v>
          </cell>
          <cell r="P1384">
            <v>0</v>
          </cell>
          <cell r="Q1384">
            <v>0</v>
          </cell>
          <cell r="R1384">
            <v>0</v>
          </cell>
          <cell r="S1384">
            <v>0</v>
          </cell>
          <cell r="T1384">
            <v>0</v>
          </cell>
          <cell r="U1384">
            <v>0</v>
          </cell>
          <cell r="V1384">
            <v>-351.56</v>
          </cell>
          <cell r="W1384">
            <v>0</v>
          </cell>
          <cell r="X1384">
            <v>0</v>
          </cell>
          <cell r="Y1384">
            <v>0</v>
          </cell>
          <cell r="Z1384">
            <v>0</v>
          </cell>
          <cell r="AA1384">
            <v>0</v>
          </cell>
          <cell r="AB1384">
            <v>7500</v>
          </cell>
          <cell r="AC1384">
            <v>0</v>
          </cell>
          <cell r="AD1384">
            <v>0</v>
          </cell>
          <cell r="AE1384">
            <v>0</v>
          </cell>
          <cell r="AF1384">
            <v>0</v>
          </cell>
        </row>
        <row r="1385">
          <cell r="A1385">
            <v>3200033</v>
          </cell>
          <cell r="H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7500</v>
          </cell>
          <cell r="AC1385">
            <v>0</v>
          </cell>
          <cell r="AD1385">
            <v>0</v>
          </cell>
          <cell r="AE1385">
            <v>0</v>
          </cell>
          <cell r="AF1385">
            <v>0</v>
          </cell>
        </row>
        <row r="1386">
          <cell r="A1386">
            <v>3300000</v>
          </cell>
          <cell r="B1386" t="str">
            <v>3300000</v>
          </cell>
          <cell r="G1386" t="str">
            <v>Group Asset Vehicles - Cars</v>
          </cell>
          <cell r="H1386">
            <v>154525</v>
          </cell>
          <cell r="K1386">
            <v>0</v>
          </cell>
          <cell r="L1386">
            <v>0</v>
          </cell>
          <cell r="M1386">
            <v>0</v>
          </cell>
          <cell r="N1386">
            <v>0</v>
          </cell>
          <cell r="O1386">
            <v>0</v>
          </cell>
          <cell r="P1386">
            <v>0</v>
          </cell>
          <cell r="Q1386">
            <v>0</v>
          </cell>
          <cell r="R1386">
            <v>0</v>
          </cell>
          <cell r="S1386">
            <v>0</v>
          </cell>
          <cell r="T1386">
            <v>0</v>
          </cell>
          <cell r="U1386">
            <v>0</v>
          </cell>
          <cell r="V1386">
            <v>-30905</v>
          </cell>
          <cell r="W1386">
            <v>0</v>
          </cell>
          <cell r="X1386">
            <v>0</v>
          </cell>
          <cell r="Y1386">
            <v>0</v>
          </cell>
          <cell r="Z1386">
            <v>0</v>
          </cell>
          <cell r="AA1386">
            <v>0</v>
          </cell>
          <cell r="AB1386">
            <v>0</v>
          </cell>
          <cell r="AC1386">
            <v>0</v>
          </cell>
          <cell r="AD1386">
            <v>0</v>
          </cell>
          <cell r="AE1386">
            <v>0</v>
          </cell>
          <cell r="AF1386">
            <v>0</v>
          </cell>
        </row>
        <row r="1387">
          <cell r="A1387">
            <v>3300000</v>
          </cell>
          <cell r="H1387">
            <v>154525</v>
          </cell>
          <cell r="K1387">
            <v>0</v>
          </cell>
          <cell r="L1387">
            <v>0</v>
          </cell>
          <cell r="M1387">
            <v>-30905</v>
          </cell>
          <cell r="N1387">
            <v>0</v>
          </cell>
          <cell r="O1387">
            <v>0</v>
          </cell>
          <cell r="P1387">
            <v>0</v>
          </cell>
          <cell r="Q1387">
            <v>0</v>
          </cell>
          <cell r="R1387">
            <v>0</v>
          </cell>
          <cell r="S1387">
            <v>0</v>
          </cell>
          <cell r="T1387">
            <v>0</v>
          </cell>
          <cell r="U1387">
            <v>0</v>
          </cell>
          <cell r="V1387">
            <v>-24724</v>
          </cell>
          <cell r="W1387">
            <v>0</v>
          </cell>
          <cell r="X1387">
            <v>0</v>
          </cell>
          <cell r="Y1387">
            <v>0</v>
          </cell>
          <cell r="Z1387">
            <v>0</v>
          </cell>
          <cell r="AA1387">
            <v>0</v>
          </cell>
          <cell r="AB1387">
            <v>0</v>
          </cell>
          <cell r="AC1387">
            <v>0</v>
          </cell>
          <cell r="AD1387">
            <v>0</v>
          </cell>
          <cell r="AE1387">
            <v>0</v>
          </cell>
          <cell r="AF1387">
            <v>0</v>
          </cell>
        </row>
        <row r="1388">
          <cell r="A1388">
            <v>3300001</v>
          </cell>
          <cell r="B1388" t="str">
            <v>3300001</v>
          </cell>
          <cell r="G1388" t="str">
            <v>Group Asset Vehicles - Scooters</v>
          </cell>
          <cell r="H1388">
            <v>48727</v>
          </cell>
          <cell r="K1388">
            <v>0</v>
          </cell>
          <cell r="L1388">
            <v>0</v>
          </cell>
          <cell r="M1388">
            <v>0</v>
          </cell>
          <cell r="N1388">
            <v>0</v>
          </cell>
          <cell r="O1388">
            <v>0</v>
          </cell>
          <cell r="P1388">
            <v>0</v>
          </cell>
          <cell r="Q1388">
            <v>0</v>
          </cell>
          <cell r="R1388">
            <v>0</v>
          </cell>
          <cell r="S1388">
            <v>0</v>
          </cell>
          <cell r="T1388">
            <v>0</v>
          </cell>
          <cell r="U1388">
            <v>0</v>
          </cell>
          <cell r="V1388">
            <v>-13321.75</v>
          </cell>
          <cell r="W1388">
            <v>0</v>
          </cell>
          <cell r="X1388">
            <v>0</v>
          </cell>
          <cell r="Y1388">
            <v>0</v>
          </cell>
          <cell r="Z1388">
            <v>0</v>
          </cell>
          <cell r="AA1388">
            <v>0</v>
          </cell>
          <cell r="AB1388">
            <v>4560</v>
          </cell>
          <cell r="AC1388">
            <v>0</v>
          </cell>
          <cell r="AD1388">
            <v>0</v>
          </cell>
          <cell r="AE1388">
            <v>0</v>
          </cell>
          <cell r="AF1388">
            <v>0</v>
          </cell>
        </row>
        <row r="1389">
          <cell r="A1389">
            <v>3300001</v>
          </cell>
          <cell r="H1389">
            <v>53287</v>
          </cell>
          <cell r="K1389">
            <v>0</v>
          </cell>
          <cell r="L1389">
            <v>0</v>
          </cell>
          <cell r="M1389">
            <v>-13321.75</v>
          </cell>
          <cell r="N1389">
            <v>0</v>
          </cell>
          <cell r="O1389">
            <v>0</v>
          </cell>
          <cell r="P1389">
            <v>0</v>
          </cell>
          <cell r="Q1389">
            <v>0</v>
          </cell>
          <cell r="R1389">
            <v>0</v>
          </cell>
          <cell r="S1389">
            <v>0</v>
          </cell>
          <cell r="T1389">
            <v>0</v>
          </cell>
          <cell r="U1389">
            <v>0</v>
          </cell>
          <cell r="V1389">
            <v>-20500.07</v>
          </cell>
          <cell r="W1389">
            <v>0</v>
          </cell>
          <cell r="X1389">
            <v>0</v>
          </cell>
          <cell r="Y1389">
            <v>0</v>
          </cell>
          <cell r="Z1389">
            <v>0</v>
          </cell>
          <cell r="AA1389">
            <v>0</v>
          </cell>
          <cell r="AB1389">
            <v>84070</v>
          </cell>
          <cell r="AC1389">
            <v>0</v>
          </cell>
          <cell r="AD1389">
            <v>0</v>
          </cell>
          <cell r="AE1389">
            <v>0</v>
          </cell>
          <cell r="AF1389">
            <v>0</v>
          </cell>
        </row>
        <row r="1390">
          <cell r="A1390">
            <v>4300000</v>
          </cell>
          <cell r="B1390" t="str">
            <v>4300000</v>
          </cell>
          <cell r="G1390" t="str">
            <v>MOBILE PHONE</v>
          </cell>
          <cell r="H1390">
            <v>0</v>
          </cell>
          <cell r="K1390">
            <v>0</v>
          </cell>
          <cell r="L1390">
            <v>0</v>
          </cell>
          <cell r="M1390">
            <v>0</v>
          </cell>
          <cell r="N1390">
            <v>0</v>
          </cell>
          <cell r="O1390">
            <v>0</v>
          </cell>
          <cell r="P1390">
            <v>0</v>
          </cell>
          <cell r="Q1390">
            <v>0</v>
          </cell>
          <cell r="R1390">
            <v>0</v>
          </cell>
          <cell r="S1390">
            <v>0</v>
          </cell>
          <cell r="T1390">
            <v>0</v>
          </cell>
          <cell r="U1390">
            <v>0</v>
          </cell>
          <cell r="V1390">
            <v>-1200</v>
          </cell>
          <cell r="W1390">
            <v>0</v>
          </cell>
          <cell r="X1390">
            <v>0</v>
          </cell>
          <cell r="Y1390">
            <v>0</v>
          </cell>
          <cell r="Z1390">
            <v>0</v>
          </cell>
          <cell r="AA1390">
            <v>0</v>
          </cell>
          <cell r="AB1390">
            <v>1200</v>
          </cell>
          <cell r="AC1390">
            <v>0</v>
          </cell>
          <cell r="AD1390">
            <v>0</v>
          </cell>
          <cell r="AE1390">
            <v>0</v>
          </cell>
          <cell r="AF1390">
            <v>0</v>
          </cell>
        </row>
        <row r="1391">
          <cell r="A1391">
            <v>4300000</v>
          </cell>
          <cell r="H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1200</v>
          </cell>
          <cell r="AC1391">
            <v>0</v>
          </cell>
          <cell r="AD1391">
            <v>0</v>
          </cell>
          <cell r="AE1391">
            <v>0</v>
          </cell>
          <cell r="AF1391">
            <v>0</v>
          </cell>
        </row>
        <row r="1392">
          <cell r="A1392">
            <v>4300000</v>
          </cell>
          <cell r="H1392">
            <v>1200</v>
          </cell>
          <cell r="K1392">
            <v>0</v>
          </cell>
          <cell r="L1392">
            <v>0</v>
          </cell>
          <cell r="M1392">
            <v>-1200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cell r="AD1392">
            <v>0</v>
          </cell>
          <cell r="AE1392">
            <v>0</v>
          </cell>
          <cell r="AF1392">
            <v>0</v>
          </cell>
        </row>
        <row r="1393">
          <cell r="A1393">
            <v>4300000</v>
          </cell>
          <cell r="H1393">
            <v>1200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row>
        <row r="1394">
          <cell r="A1394">
            <v>4300001</v>
          </cell>
          <cell r="B1394" t="str">
            <v>4300001</v>
          </cell>
          <cell r="G1394" t="str">
            <v>NOKIA PHONE</v>
          </cell>
          <cell r="H1394">
            <v>0</v>
          </cell>
          <cell r="K1394">
            <v>0</v>
          </cell>
          <cell r="L1394">
            <v>0</v>
          </cell>
          <cell r="M1394">
            <v>0</v>
          </cell>
          <cell r="N1394">
            <v>0</v>
          </cell>
          <cell r="O1394">
            <v>0</v>
          </cell>
          <cell r="P1394">
            <v>0</v>
          </cell>
          <cell r="Q1394">
            <v>0</v>
          </cell>
          <cell r="R1394">
            <v>0</v>
          </cell>
          <cell r="S1394">
            <v>0</v>
          </cell>
          <cell r="T1394">
            <v>0</v>
          </cell>
          <cell r="U1394">
            <v>0</v>
          </cell>
          <cell r="V1394">
            <v>-30000</v>
          </cell>
          <cell r="W1394">
            <v>0</v>
          </cell>
          <cell r="X1394">
            <v>0</v>
          </cell>
          <cell r="Y1394">
            <v>0</v>
          </cell>
          <cell r="Z1394">
            <v>0</v>
          </cell>
          <cell r="AA1394">
            <v>0</v>
          </cell>
          <cell r="AB1394">
            <v>30000</v>
          </cell>
          <cell r="AC1394">
            <v>0</v>
          </cell>
          <cell r="AD1394">
            <v>0</v>
          </cell>
          <cell r="AE1394">
            <v>0</v>
          </cell>
          <cell r="AF1394">
            <v>0</v>
          </cell>
        </row>
        <row r="1395">
          <cell r="A1395">
            <v>4300001</v>
          </cell>
          <cell r="H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30000</v>
          </cell>
          <cell r="AC1395">
            <v>0</v>
          </cell>
          <cell r="AD1395">
            <v>0</v>
          </cell>
          <cell r="AE1395">
            <v>0</v>
          </cell>
          <cell r="AF1395">
            <v>0</v>
          </cell>
        </row>
        <row r="1396">
          <cell r="A1396">
            <v>4300001</v>
          </cell>
          <cell r="H1396">
            <v>30000</v>
          </cell>
          <cell r="K1396">
            <v>0</v>
          </cell>
          <cell r="L1396">
            <v>0</v>
          </cell>
          <cell r="M1396">
            <v>-30000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cell r="AD1396">
            <v>0</v>
          </cell>
          <cell r="AE1396">
            <v>0</v>
          </cell>
          <cell r="AF1396">
            <v>0</v>
          </cell>
        </row>
        <row r="1397">
          <cell r="A1397">
            <v>4300001</v>
          </cell>
          <cell r="H1397">
            <v>30000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cell r="AD1397">
            <v>0</v>
          </cell>
          <cell r="AE1397">
            <v>0</v>
          </cell>
          <cell r="AF1397">
            <v>0</v>
          </cell>
        </row>
        <row r="1398">
          <cell r="A1398">
            <v>4300002</v>
          </cell>
          <cell r="B1398" t="str">
            <v>4300002</v>
          </cell>
          <cell r="G1398" t="str">
            <v>NOKIA PHONE</v>
          </cell>
          <cell r="H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row>
        <row r="1399">
          <cell r="A1399">
            <v>4300003</v>
          </cell>
          <cell r="B1399" t="str">
            <v>4300003</v>
          </cell>
          <cell r="G1399" t="str">
            <v>NOKIA PHONE</v>
          </cell>
          <cell r="H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cell r="AD1399">
            <v>0</v>
          </cell>
          <cell r="AE1399">
            <v>0</v>
          </cell>
          <cell r="AF1399">
            <v>0</v>
          </cell>
        </row>
        <row r="1400">
          <cell r="A1400">
            <v>4300004</v>
          </cell>
          <cell r="B1400" t="str">
            <v>4300004</v>
          </cell>
          <cell r="G1400" t="str">
            <v>NOKIA PHONE</v>
          </cell>
          <cell r="H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cell r="AD1400">
            <v>0</v>
          </cell>
          <cell r="AE1400">
            <v>0</v>
          </cell>
          <cell r="AF1400">
            <v>0</v>
          </cell>
        </row>
        <row r="1401">
          <cell r="A1401">
            <v>4300005</v>
          </cell>
          <cell r="B1401" t="str">
            <v>4300005</v>
          </cell>
          <cell r="G1401" t="str">
            <v>NOKIA PHONE</v>
          </cell>
          <cell r="H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cell r="AD1401">
            <v>0</v>
          </cell>
          <cell r="AE1401">
            <v>0</v>
          </cell>
          <cell r="AF1401">
            <v>0</v>
          </cell>
        </row>
        <row r="1402">
          <cell r="A1402">
            <v>4300006</v>
          </cell>
          <cell r="B1402" t="str">
            <v>4300006</v>
          </cell>
          <cell r="G1402" t="str">
            <v>NOKIA PHONE</v>
          </cell>
          <cell r="H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cell r="AD1402">
            <v>0</v>
          </cell>
          <cell r="AE1402">
            <v>0</v>
          </cell>
          <cell r="AF1402">
            <v>0</v>
          </cell>
        </row>
        <row r="1403">
          <cell r="A1403">
            <v>4300007</v>
          </cell>
          <cell r="B1403" t="str">
            <v>4300007</v>
          </cell>
          <cell r="G1403" t="str">
            <v>NOKIA PHONE</v>
          </cell>
          <cell r="H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cell r="AD1403">
            <v>0</v>
          </cell>
          <cell r="AE1403">
            <v>0</v>
          </cell>
          <cell r="AF1403">
            <v>0</v>
          </cell>
        </row>
        <row r="1404">
          <cell r="A1404">
            <v>4300008</v>
          </cell>
          <cell r="B1404" t="str">
            <v>4300008</v>
          </cell>
          <cell r="G1404" t="str">
            <v>NOKIA PHONE</v>
          </cell>
          <cell r="H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cell r="AD1404">
            <v>0</v>
          </cell>
          <cell r="AE1404">
            <v>0</v>
          </cell>
          <cell r="AF1404">
            <v>0</v>
          </cell>
        </row>
        <row r="1405">
          <cell r="A1405">
            <v>4300009</v>
          </cell>
          <cell r="B1405" t="str">
            <v>4300009</v>
          </cell>
          <cell r="G1405" t="str">
            <v>NOKIA PHONE</v>
          </cell>
          <cell r="H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cell r="AD1405">
            <v>0</v>
          </cell>
          <cell r="AE1405">
            <v>0</v>
          </cell>
          <cell r="AF1405">
            <v>0</v>
          </cell>
        </row>
        <row r="1406">
          <cell r="A1406">
            <v>4300010</v>
          </cell>
          <cell r="B1406" t="str">
            <v>4300010</v>
          </cell>
          <cell r="G1406" t="str">
            <v>NOKIA PHONE</v>
          </cell>
          <cell r="H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cell r="AD1406">
            <v>0</v>
          </cell>
          <cell r="AE1406">
            <v>0</v>
          </cell>
          <cell r="AF1406">
            <v>0</v>
          </cell>
        </row>
        <row r="1407">
          <cell r="A1407">
            <v>4300011</v>
          </cell>
          <cell r="B1407" t="str">
            <v>4300011</v>
          </cell>
          <cell r="G1407" t="str">
            <v>MObile Nokia -1600</v>
          </cell>
          <cell r="H1407">
            <v>0</v>
          </cell>
          <cell r="K1407">
            <v>0</v>
          </cell>
          <cell r="L1407">
            <v>0</v>
          </cell>
          <cell r="M1407">
            <v>0</v>
          </cell>
          <cell r="N1407">
            <v>0</v>
          </cell>
          <cell r="O1407">
            <v>0</v>
          </cell>
          <cell r="P1407">
            <v>0</v>
          </cell>
          <cell r="Q1407">
            <v>0</v>
          </cell>
          <cell r="R1407">
            <v>0</v>
          </cell>
          <cell r="S1407">
            <v>0</v>
          </cell>
          <cell r="T1407">
            <v>0</v>
          </cell>
          <cell r="U1407">
            <v>0</v>
          </cell>
          <cell r="V1407">
            <v>-2380</v>
          </cell>
          <cell r="W1407">
            <v>0</v>
          </cell>
          <cell r="X1407">
            <v>0</v>
          </cell>
          <cell r="Y1407">
            <v>0</v>
          </cell>
          <cell r="Z1407">
            <v>0</v>
          </cell>
          <cell r="AA1407">
            <v>0</v>
          </cell>
          <cell r="AB1407">
            <v>2380</v>
          </cell>
          <cell r="AC1407">
            <v>0</v>
          </cell>
          <cell r="AD1407">
            <v>0</v>
          </cell>
          <cell r="AE1407">
            <v>0</v>
          </cell>
          <cell r="AF1407">
            <v>0</v>
          </cell>
        </row>
        <row r="1408">
          <cell r="A1408">
            <v>4300011</v>
          </cell>
          <cell r="H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2380</v>
          </cell>
          <cell r="AC1408">
            <v>0</v>
          </cell>
          <cell r="AD1408">
            <v>0</v>
          </cell>
          <cell r="AE1408">
            <v>0</v>
          </cell>
          <cell r="AF1408">
            <v>0</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ivandi"/>
      <sheetName val="BENBOM"/>
      <sheetName val="GR CTWISE"/>
      <sheetName val="GRTN"/>
      <sheetName val="TIRUPUR"/>
      <sheetName val="ALTES"/>
      <sheetName val="Alte"/>
      <sheetName val="ISSUE"/>
      <sheetName val="TOTAL"/>
      <sheetName val="Realised Value 02-03"/>
      <sheetName val="VALUE"/>
      <sheetName val="Sheet2"/>
      <sheetName val="Sheet1"/>
      <sheetName val="AcqIS"/>
      <sheetName val="AcqBSCF"/>
      <sheetName val="Sens"/>
    </sheetNames>
    <sheetDataSet>
      <sheetData sheetId="0" refreshError="1">
        <row r="8">
          <cell r="B8" t="str">
            <v>10/1 KW</v>
          </cell>
          <cell r="I8">
            <v>0</v>
          </cell>
          <cell r="J8">
            <v>0</v>
          </cell>
          <cell r="K8">
            <v>0</v>
          </cell>
          <cell r="O8">
            <v>0</v>
          </cell>
          <cell r="P8">
            <v>0</v>
          </cell>
          <cell r="Q8">
            <v>0</v>
          </cell>
        </row>
        <row r="9">
          <cell r="B9" t="str">
            <v>10/1 KHD</v>
          </cell>
          <cell r="F9">
            <v>11</v>
          </cell>
          <cell r="G9">
            <v>498.96</v>
          </cell>
          <cell r="H9">
            <v>40967.800000000003</v>
          </cell>
        </row>
        <row r="10">
          <cell r="B10" t="str">
            <v>12/1 CH</v>
          </cell>
          <cell r="I10">
            <v>0</v>
          </cell>
          <cell r="J10">
            <v>0</v>
          </cell>
          <cell r="K10">
            <v>0</v>
          </cell>
          <cell r="O10">
            <v>0</v>
          </cell>
          <cell r="P10">
            <v>0</v>
          </cell>
          <cell r="Q10">
            <v>0</v>
          </cell>
        </row>
        <row r="11">
          <cell r="B11" t="str">
            <v>12/1 KW</v>
          </cell>
          <cell r="I11">
            <v>0</v>
          </cell>
          <cell r="J11">
            <v>0</v>
          </cell>
          <cell r="K11">
            <v>0</v>
          </cell>
          <cell r="O11">
            <v>0</v>
          </cell>
          <cell r="P11">
            <v>0</v>
          </cell>
          <cell r="Q11">
            <v>0</v>
          </cell>
        </row>
        <row r="12">
          <cell r="B12" t="str">
            <v>14/1 KH</v>
          </cell>
          <cell r="I12">
            <v>0</v>
          </cell>
          <cell r="J12">
            <v>0</v>
          </cell>
          <cell r="K12">
            <v>0</v>
          </cell>
          <cell r="O12">
            <v>0</v>
          </cell>
          <cell r="P12">
            <v>0</v>
          </cell>
          <cell r="Q12">
            <v>0</v>
          </cell>
        </row>
        <row r="13">
          <cell r="B13" t="str">
            <v>14/1 KW</v>
          </cell>
          <cell r="F13">
            <v>16</v>
          </cell>
          <cell r="G13">
            <v>709</v>
          </cell>
          <cell r="H13">
            <v>53046.872199999998</v>
          </cell>
          <cell r="I13">
            <v>0</v>
          </cell>
          <cell r="J13">
            <v>0</v>
          </cell>
          <cell r="K13">
            <v>0</v>
          </cell>
          <cell r="O13">
            <v>16</v>
          </cell>
          <cell r="P13">
            <v>709</v>
          </cell>
          <cell r="Q13">
            <v>53046.872199999998</v>
          </cell>
        </row>
        <row r="14">
          <cell r="B14" t="str">
            <v>16/1 CH</v>
          </cell>
          <cell r="C14">
            <v>1</v>
          </cell>
          <cell r="D14">
            <v>45.36</v>
          </cell>
          <cell r="E14">
            <v>4476.1080000000002</v>
          </cell>
          <cell r="I14">
            <v>0</v>
          </cell>
          <cell r="J14">
            <v>0</v>
          </cell>
          <cell r="K14">
            <v>0</v>
          </cell>
          <cell r="O14">
            <v>-1</v>
          </cell>
          <cell r="P14">
            <v>-45.36</v>
          </cell>
          <cell r="Q14">
            <v>-4476.1080000000002</v>
          </cell>
        </row>
        <row r="15">
          <cell r="B15" t="str">
            <v>16/1 KW</v>
          </cell>
          <cell r="C15">
            <v>5</v>
          </cell>
          <cell r="D15">
            <v>226.8</v>
          </cell>
          <cell r="E15">
            <v>16784.04</v>
          </cell>
          <cell r="F15">
            <v>5</v>
          </cell>
          <cell r="G15">
            <v>226.8</v>
          </cell>
          <cell r="H15">
            <v>17455.47</v>
          </cell>
          <cell r="I15">
            <v>0</v>
          </cell>
          <cell r="J15">
            <v>0</v>
          </cell>
          <cell r="K15">
            <v>0</v>
          </cell>
          <cell r="O15">
            <v>0</v>
          </cell>
          <cell r="P15">
            <v>0</v>
          </cell>
          <cell r="Q15">
            <v>671.43000000000029</v>
          </cell>
        </row>
        <row r="16">
          <cell r="B16" t="str">
            <v>16/1 KHD</v>
          </cell>
          <cell r="F16">
            <v>22</v>
          </cell>
          <cell r="G16">
            <v>997.92</v>
          </cell>
          <cell r="H16">
            <v>86654.6</v>
          </cell>
        </row>
        <row r="17">
          <cell r="B17" t="str">
            <v>18/1 CH</v>
          </cell>
          <cell r="I17">
            <v>0</v>
          </cell>
          <cell r="J17">
            <v>0</v>
          </cell>
          <cell r="K17">
            <v>0</v>
          </cell>
          <cell r="O17">
            <v>0</v>
          </cell>
          <cell r="P17">
            <v>0</v>
          </cell>
          <cell r="Q17">
            <v>0</v>
          </cell>
        </row>
        <row r="18">
          <cell r="B18" t="str">
            <v>20/1 CH</v>
          </cell>
          <cell r="C18">
            <v>32</v>
          </cell>
          <cell r="D18">
            <v>1207.8599999999999</v>
          </cell>
          <cell r="E18">
            <v>114764.83199999999</v>
          </cell>
          <cell r="F18">
            <v>596</v>
          </cell>
          <cell r="G18">
            <v>26782.09</v>
          </cell>
          <cell r="H18">
            <v>2507719.67704</v>
          </cell>
          <cell r="I18">
            <v>132</v>
          </cell>
          <cell r="J18">
            <v>5928.76</v>
          </cell>
          <cell r="K18">
            <v>576617.06999999995</v>
          </cell>
          <cell r="L18">
            <v>16</v>
          </cell>
          <cell r="M18">
            <v>725.76</v>
          </cell>
          <cell r="N18">
            <v>77422.243080000015</v>
          </cell>
          <cell r="O18">
            <v>448</v>
          </cell>
          <cell r="P18">
            <v>20371.229999999996</v>
          </cell>
          <cell r="Q18">
            <v>1893760.0181200001</v>
          </cell>
        </row>
        <row r="19">
          <cell r="B19" t="str">
            <v>20/1 KH</v>
          </cell>
          <cell r="C19">
            <v>3</v>
          </cell>
          <cell r="D19">
            <v>113.46</v>
          </cell>
          <cell r="E19">
            <v>8844.1080000000002</v>
          </cell>
          <cell r="F19">
            <v>73</v>
          </cell>
          <cell r="G19">
            <v>3311.28</v>
          </cell>
          <cell r="H19">
            <v>277621.24</v>
          </cell>
          <cell r="I19">
            <v>2</v>
          </cell>
          <cell r="J19">
            <v>90.72</v>
          </cell>
          <cell r="K19">
            <v>7698.76</v>
          </cell>
          <cell r="O19">
            <v>68</v>
          </cell>
          <cell r="P19">
            <v>3107.1000000000004</v>
          </cell>
          <cell r="Q19">
            <v>261078.37199999997</v>
          </cell>
        </row>
        <row r="20">
          <cell r="B20" t="str">
            <v>20/1 KW</v>
          </cell>
          <cell r="C20">
            <v>66</v>
          </cell>
          <cell r="D20">
            <v>2993.76</v>
          </cell>
          <cell r="E20">
            <v>224527.212</v>
          </cell>
          <cell r="F20">
            <v>85</v>
          </cell>
          <cell r="G20">
            <v>3759.79</v>
          </cell>
          <cell r="H20">
            <v>298647.87952000002</v>
          </cell>
          <cell r="I20">
            <v>0</v>
          </cell>
          <cell r="J20">
            <v>0</v>
          </cell>
          <cell r="K20">
            <v>0</v>
          </cell>
          <cell r="O20">
            <v>19</v>
          </cell>
          <cell r="P20">
            <v>766.02999999999975</v>
          </cell>
          <cell r="Q20">
            <v>74120.667520000017</v>
          </cell>
        </row>
        <row r="21">
          <cell r="B21" t="str">
            <v>24/1 CH</v>
          </cell>
          <cell r="C21">
            <v>1</v>
          </cell>
          <cell r="D21">
            <v>39.1</v>
          </cell>
          <cell r="E21">
            <v>3793.6080000000002</v>
          </cell>
          <cell r="F21">
            <v>199</v>
          </cell>
          <cell r="G21">
            <v>8849.83</v>
          </cell>
          <cell r="H21">
            <v>840091.21828000003</v>
          </cell>
          <cell r="I21">
            <v>0</v>
          </cell>
          <cell r="J21">
            <v>0</v>
          </cell>
          <cell r="K21">
            <v>0</v>
          </cell>
          <cell r="L21">
            <v>1</v>
          </cell>
          <cell r="M21">
            <v>45.36</v>
          </cell>
          <cell r="N21">
            <v>4936.47336</v>
          </cell>
          <cell r="O21">
            <v>199</v>
          </cell>
          <cell r="P21">
            <v>8856.09</v>
          </cell>
          <cell r="Q21">
            <v>841234.08363999997</v>
          </cell>
        </row>
        <row r="22">
          <cell r="B22" t="str">
            <v>24/1 KH</v>
          </cell>
          <cell r="C22">
            <v>21</v>
          </cell>
          <cell r="D22">
            <v>933.65</v>
          </cell>
          <cell r="E22">
            <v>83837.207999999999</v>
          </cell>
          <cell r="I22">
            <v>0</v>
          </cell>
          <cell r="J22">
            <v>0</v>
          </cell>
          <cell r="K22">
            <v>0</v>
          </cell>
          <cell r="O22">
            <v>-21</v>
          </cell>
          <cell r="P22">
            <v>-933.65</v>
          </cell>
          <cell r="Q22">
            <v>-83837.207999999999</v>
          </cell>
        </row>
        <row r="23">
          <cell r="B23" t="str">
            <v>26/1 CH</v>
          </cell>
          <cell r="O23">
            <v>0</v>
          </cell>
          <cell r="P23">
            <v>0</v>
          </cell>
          <cell r="Q23">
            <v>0</v>
          </cell>
        </row>
        <row r="24">
          <cell r="B24" t="str">
            <v>26/1 KH</v>
          </cell>
          <cell r="F24">
            <v>1</v>
          </cell>
          <cell r="G24">
            <v>45.36</v>
          </cell>
          <cell r="H24">
            <v>3200.3353200000001</v>
          </cell>
        </row>
        <row r="25">
          <cell r="B25" t="str">
            <v>30/1 CH</v>
          </cell>
          <cell r="C25">
            <v>45</v>
          </cell>
          <cell r="D25">
            <v>1989.28</v>
          </cell>
          <cell r="E25">
            <v>192378.73199999999</v>
          </cell>
          <cell r="F25">
            <v>46</v>
          </cell>
          <cell r="G25">
            <v>2063.8000000000002</v>
          </cell>
          <cell r="H25">
            <v>201000.00748</v>
          </cell>
          <cell r="I25">
            <v>0</v>
          </cell>
          <cell r="J25">
            <v>0</v>
          </cell>
          <cell r="K25">
            <v>0</v>
          </cell>
          <cell r="O25">
            <v>1</v>
          </cell>
          <cell r="P25">
            <v>74.520000000000209</v>
          </cell>
          <cell r="Q25">
            <v>8621.2754800000112</v>
          </cell>
        </row>
        <row r="26">
          <cell r="B26" t="str">
            <v>30/1 CH -Trad</v>
          </cell>
          <cell r="F26">
            <v>165</v>
          </cell>
          <cell r="G26">
            <v>7484.4</v>
          </cell>
          <cell r="H26">
            <v>871483.57</v>
          </cell>
        </row>
        <row r="27">
          <cell r="B27" t="str">
            <v>30/1 KH</v>
          </cell>
          <cell r="F27">
            <v>1</v>
          </cell>
          <cell r="G27">
            <v>18.899999999999999</v>
          </cell>
          <cell r="H27">
            <v>1333.47396</v>
          </cell>
        </row>
        <row r="28">
          <cell r="B28" t="str">
            <v>30/1 CW</v>
          </cell>
          <cell r="O28">
            <v>0</v>
          </cell>
          <cell r="P28">
            <v>0</v>
          </cell>
          <cell r="Q28">
            <v>0</v>
          </cell>
        </row>
        <row r="29">
          <cell r="B29" t="str">
            <v>32/1 KH</v>
          </cell>
          <cell r="O29">
            <v>0</v>
          </cell>
          <cell r="P29">
            <v>0</v>
          </cell>
          <cell r="Q29">
            <v>0</v>
          </cell>
        </row>
        <row r="30">
          <cell r="B30" t="str">
            <v>34/1 KH</v>
          </cell>
          <cell r="O30">
            <v>0</v>
          </cell>
          <cell r="P30">
            <v>0</v>
          </cell>
          <cell r="Q30">
            <v>0</v>
          </cell>
        </row>
        <row r="31">
          <cell r="B31" t="str">
            <v>40/1 CH</v>
          </cell>
          <cell r="C31">
            <v>3</v>
          </cell>
          <cell r="D31">
            <v>60</v>
          </cell>
          <cell r="E31">
            <v>9828</v>
          </cell>
          <cell r="F31">
            <v>2</v>
          </cell>
          <cell r="G31">
            <v>45</v>
          </cell>
          <cell r="H31">
            <v>3108.11</v>
          </cell>
          <cell r="O31">
            <v>-1</v>
          </cell>
          <cell r="P31">
            <v>-15</v>
          </cell>
          <cell r="Q31">
            <v>-6719.8899999999994</v>
          </cell>
        </row>
        <row r="32">
          <cell r="B32" t="str">
            <v>8/1 SLUB</v>
          </cell>
          <cell r="F32">
            <v>5</v>
          </cell>
          <cell r="G32">
            <v>216</v>
          </cell>
          <cell r="H32">
            <v>20249.61</v>
          </cell>
        </row>
        <row r="33">
          <cell r="B33" t="str">
            <v>MIX COUNT</v>
          </cell>
          <cell r="O33">
            <v>0</v>
          </cell>
          <cell r="P33">
            <v>0</v>
          </cell>
          <cell r="Q33">
            <v>0</v>
          </cell>
        </row>
        <row r="34">
          <cell r="B34" t="str">
            <v>Total</v>
          </cell>
          <cell r="C34">
            <v>177</v>
          </cell>
          <cell r="D34">
            <v>7609.2699999999995</v>
          </cell>
          <cell r="E34">
            <v>659233.848</v>
          </cell>
          <cell r="F34">
            <v>1227</v>
          </cell>
          <cell r="G34">
            <v>55009.130000000005</v>
          </cell>
          <cell r="H34">
            <v>5222579.8638000013</v>
          </cell>
          <cell r="I34">
            <v>134</v>
          </cell>
          <cell r="J34">
            <v>6019.4800000000005</v>
          </cell>
          <cell r="K34">
            <v>584315.82999999996</v>
          </cell>
          <cell r="L34">
            <v>17</v>
          </cell>
          <cell r="M34">
            <v>771.12</v>
          </cell>
          <cell r="N34">
            <v>82358.716440000018</v>
          </cell>
          <cell r="O34">
            <v>728</v>
          </cell>
          <cell r="P34">
            <v>32889.959999999992</v>
          </cell>
          <cell r="Q34">
            <v>3037499.51296</v>
          </cell>
        </row>
        <row r="35">
          <cell r="B35" t="str">
            <v>10/3 KW</v>
          </cell>
          <cell r="O35">
            <v>0</v>
          </cell>
          <cell r="P35">
            <v>0</v>
          </cell>
          <cell r="Q35">
            <v>0</v>
          </cell>
        </row>
        <row r="36">
          <cell r="B36" t="str">
            <v>12/2 KW</v>
          </cell>
          <cell r="O36">
            <v>0</v>
          </cell>
          <cell r="P36">
            <v>0</v>
          </cell>
          <cell r="Q36">
            <v>0</v>
          </cell>
        </row>
        <row r="37">
          <cell r="B37" t="str">
            <v>12/2 CH</v>
          </cell>
          <cell r="O37">
            <v>0</v>
          </cell>
          <cell r="P37">
            <v>0</v>
          </cell>
          <cell r="Q37">
            <v>0</v>
          </cell>
        </row>
        <row r="38">
          <cell r="B38" t="str">
            <v>20/2 CW</v>
          </cell>
          <cell r="O38">
            <v>0</v>
          </cell>
          <cell r="P38">
            <v>0</v>
          </cell>
          <cell r="Q38">
            <v>0</v>
          </cell>
        </row>
        <row r="39">
          <cell r="B39" t="str">
            <v>30/2 CW</v>
          </cell>
          <cell r="O39">
            <v>0</v>
          </cell>
          <cell r="P39">
            <v>0</v>
          </cell>
          <cell r="Q39">
            <v>0</v>
          </cell>
        </row>
        <row r="40">
          <cell r="B40" t="str">
            <v>20/2 CH</v>
          </cell>
          <cell r="C40">
            <v>8</v>
          </cell>
          <cell r="D40">
            <v>346.52</v>
          </cell>
          <cell r="E40">
            <v>41623.764000000003</v>
          </cell>
          <cell r="F40">
            <v>8</v>
          </cell>
          <cell r="G40">
            <v>346.52</v>
          </cell>
          <cell r="H40">
            <v>31460.16</v>
          </cell>
          <cell r="O40">
            <v>0</v>
          </cell>
          <cell r="P40">
            <v>0</v>
          </cell>
          <cell r="Q40">
            <v>-10163.604000000003</v>
          </cell>
        </row>
        <row r="41">
          <cell r="B41" t="str">
            <v>20/2 KW</v>
          </cell>
          <cell r="O41">
            <v>0</v>
          </cell>
          <cell r="P41">
            <v>0</v>
          </cell>
          <cell r="Q41">
            <v>0</v>
          </cell>
        </row>
        <row r="42">
          <cell r="B42" t="str">
            <v>24/2 KW</v>
          </cell>
          <cell r="F42">
            <v>36</v>
          </cell>
          <cell r="G42">
            <v>1632.96</v>
          </cell>
          <cell r="H42">
            <v>133740</v>
          </cell>
          <cell r="O42">
            <v>36</v>
          </cell>
          <cell r="P42">
            <v>1632.96</v>
          </cell>
          <cell r="Q42">
            <v>133740</v>
          </cell>
        </row>
        <row r="43">
          <cell r="B43" t="str">
            <v>30/2 CH</v>
          </cell>
        </row>
        <row r="44">
          <cell r="B44" t="str">
            <v>Total</v>
          </cell>
          <cell r="C44">
            <v>8</v>
          </cell>
          <cell r="D44">
            <v>346.52</v>
          </cell>
          <cell r="E44">
            <v>41623.764000000003</v>
          </cell>
          <cell r="F44">
            <v>44</v>
          </cell>
          <cell r="G44">
            <v>1979.48</v>
          </cell>
          <cell r="H44">
            <v>165200.16</v>
          </cell>
          <cell r="I44">
            <v>0</v>
          </cell>
          <cell r="J44">
            <v>0</v>
          </cell>
          <cell r="K44">
            <v>0</v>
          </cell>
          <cell r="L44">
            <v>0</v>
          </cell>
          <cell r="M44">
            <v>0</v>
          </cell>
          <cell r="N44">
            <v>0</v>
          </cell>
          <cell r="O44">
            <v>36</v>
          </cell>
          <cell r="P44">
            <v>1632.96</v>
          </cell>
          <cell r="Q44">
            <v>123576.39599999999</v>
          </cell>
        </row>
        <row r="45">
          <cell r="B45" t="str">
            <v>20/1 C K.F.</v>
          </cell>
          <cell r="C45">
            <v>8</v>
          </cell>
          <cell r="D45">
            <v>354</v>
          </cell>
          <cell r="E45">
            <v>39587.82</v>
          </cell>
          <cell r="O45">
            <v>-8</v>
          </cell>
          <cell r="P45">
            <v>-354</v>
          </cell>
          <cell r="Q45">
            <v>-39587.82</v>
          </cell>
        </row>
        <row r="46">
          <cell r="B46" t="str">
            <v>20/1 Dyed Fab</v>
          </cell>
          <cell r="C46">
            <v>5</v>
          </cell>
          <cell r="D46">
            <v>187.72</v>
          </cell>
          <cell r="E46">
            <v>17153.849999999999</v>
          </cell>
          <cell r="I46">
            <v>5</v>
          </cell>
          <cell r="J46">
            <v>187.72</v>
          </cell>
          <cell r="K46">
            <v>17153.849999999999</v>
          </cell>
          <cell r="O46">
            <v>-10</v>
          </cell>
          <cell r="P46">
            <v>-375.44</v>
          </cell>
          <cell r="Q46">
            <v>-34307.699999999997</v>
          </cell>
        </row>
        <row r="47">
          <cell r="B47" t="str">
            <v>30/1 C K.F.</v>
          </cell>
          <cell r="O47">
            <v>0</v>
          </cell>
          <cell r="P47">
            <v>0</v>
          </cell>
          <cell r="Q47">
            <v>0</v>
          </cell>
        </row>
        <row r="48">
          <cell r="B48" t="str">
            <v>30/1 K K.F.</v>
          </cell>
          <cell r="O48">
            <v>0</v>
          </cell>
          <cell r="P48">
            <v>0</v>
          </cell>
          <cell r="Q48">
            <v>0</v>
          </cell>
        </row>
        <row r="49">
          <cell r="B49" t="str">
            <v>40/1 C K.F.</v>
          </cell>
          <cell r="O49">
            <v>0</v>
          </cell>
          <cell r="P49">
            <v>0</v>
          </cell>
          <cell r="Q49">
            <v>0</v>
          </cell>
        </row>
        <row r="50">
          <cell r="B50" t="str">
            <v>Total</v>
          </cell>
          <cell r="C50">
            <v>13</v>
          </cell>
          <cell r="D50">
            <v>541.72</v>
          </cell>
          <cell r="E50">
            <v>56741.67</v>
          </cell>
          <cell r="F50">
            <v>0</v>
          </cell>
          <cell r="G50">
            <v>0</v>
          </cell>
          <cell r="H50">
            <v>0</v>
          </cell>
          <cell r="I50">
            <v>5</v>
          </cell>
          <cell r="J50">
            <v>187.72</v>
          </cell>
          <cell r="K50">
            <v>17153.849999999999</v>
          </cell>
          <cell r="L50">
            <v>0</v>
          </cell>
          <cell r="M50">
            <v>0</v>
          </cell>
          <cell r="N50">
            <v>0</v>
          </cell>
          <cell r="O50">
            <v>-18</v>
          </cell>
          <cell r="P50">
            <v>-729.44</v>
          </cell>
          <cell r="Q50">
            <v>-73895.51999999999</v>
          </cell>
        </row>
        <row r="51">
          <cell r="B51" t="str">
            <v>Fancy Yarn</v>
          </cell>
          <cell r="C51">
            <v>-1</v>
          </cell>
          <cell r="D51">
            <v>-19.7</v>
          </cell>
          <cell r="F51">
            <v>6</v>
          </cell>
          <cell r="G51">
            <v>300</v>
          </cell>
          <cell r="H51">
            <v>74997.47</v>
          </cell>
          <cell r="O51">
            <v>7</v>
          </cell>
          <cell r="P51">
            <v>319.7</v>
          </cell>
          <cell r="Q51">
            <v>74997.47</v>
          </cell>
        </row>
        <row r="52">
          <cell r="B52" t="str">
            <v>Total</v>
          </cell>
          <cell r="C52">
            <v>-1</v>
          </cell>
          <cell r="D52">
            <v>-19.7</v>
          </cell>
          <cell r="E52">
            <v>0</v>
          </cell>
          <cell r="F52">
            <v>6</v>
          </cell>
          <cell r="G52">
            <v>300</v>
          </cell>
          <cell r="H52">
            <v>74997.47</v>
          </cell>
          <cell r="I52">
            <v>0</v>
          </cell>
          <cell r="J52">
            <v>0</v>
          </cell>
          <cell r="K52">
            <v>0</v>
          </cell>
          <cell r="L52">
            <v>0</v>
          </cell>
          <cell r="M52">
            <v>0</v>
          </cell>
          <cell r="N52">
            <v>0</v>
          </cell>
          <cell r="O52">
            <v>7</v>
          </cell>
          <cell r="P52">
            <v>319.7</v>
          </cell>
          <cell r="Q52">
            <v>74997.47</v>
          </cell>
        </row>
        <row r="54">
          <cell r="B54" t="str">
            <v>G. TOTAL</v>
          </cell>
          <cell r="C54">
            <v>197</v>
          </cell>
          <cell r="D54">
            <v>8477.8099999999977</v>
          </cell>
          <cell r="E54">
            <v>757599.28200000001</v>
          </cell>
          <cell r="F54">
            <v>1277</v>
          </cell>
          <cell r="G54">
            <v>57288.610000000008</v>
          </cell>
          <cell r="H54">
            <v>5462777.4938000012</v>
          </cell>
          <cell r="I54">
            <v>139</v>
          </cell>
          <cell r="J54">
            <v>6207.2000000000007</v>
          </cell>
          <cell r="K54">
            <v>601469.67999999993</v>
          </cell>
          <cell r="L54">
            <v>17</v>
          </cell>
          <cell r="M54">
            <v>771.12</v>
          </cell>
          <cell r="N54">
            <v>82358.716440000018</v>
          </cell>
          <cell r="O54">
            <v>753</v>
          </cell>
          <cell r="P54">
            <v>34113.179999999986</v>
          </cell>
          <cell r="Q54">
            <v>3162177.8589600003</v>
          </cell>
        </row>
        <row r="56">
          <cell r="C56">
            <v>660</v>
          </cell>
          <cell r="D56">
            <v>31919.119999999999</v>
          </cell>
          <cell r="E56">
            <v>3578916</v>
          </cell>
          <cell r="F56">
            <v>4451</v>
          </cell>
          <cell r="G56">
            <v>204896.03</v>
          </cell>
          <cell r="H56">
            <v>18456618.389999997</v>
          </cell>
          <cell r="I56">
            <v>712</v>
          </cell>
          <cell r="J56">
            <v>32271.74</v>
          </cell>
          <cell r="K56">
            <v>2957297.877024</v>
          </cell>
          <cell r="L56">
            <v>197</v>
          </cell>
          <cell r="M56">
            <v>8477.81</v>
          </cell>
          <cell r="N56">
            <v>700857.61199999996</v>
          </cell>
          <cell r="O56">
            <v>3276</v>
          </cell>
          <cell r="P56">
            <v>149200.19</v>
          </cell>
          <cell r="Q56">
            <v>12623343.124975998</v>
          </cell>
        </row>
        <row r="57">
          <cell r="C57">
            <v>-463</v>
          </cell>
          <cell r="D57">
            <v>-23441.31</v>
          </cell>
          <cell r="E57">
            <v>-2821316.7179999999</v>
          </cell>
          <cell r="F57">
            <v>-3174</v>
          </cell>
          <cell r="G57">
            <v>-147607.41999999998</v>
          </cell>
          <cell r="H57">
            <v>-12993840.896199996</v>
          </cell>
          <cell r="I57">
            <v>-573</v>
          </cell>
          <cell r="J57">
            <v>-26064.54</v>
          </cell>
          <cell r="K57">
            <v>-2355828.1970239999</v>
          </cell>
          <cell r="L57">
            <v>-180</v>
          </cell>
          <cell r="M57">
            <v>-7706.69</v>
          </cell>
          <cell r="N57">
            <v>-618498.89555999998</v>
          </cell>
          <cell r="O57">
            <v>-2523</v>
          </cell>
          <cell r="P57">
            <v>-115087.01000000001</v>
          </cell>
          <cell r="Q57">
            <v>-9461165.2660159972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Index"/>
      <sheetName val="Trial Report"/>
      <sheetName val="PL"/>
      <sheetName val="BalanceSheet"/>
      <sheetName val="Sch_BS_Share Capita"/>
      <sheetName val="Sch_BS_Other_Liabilities"/>
      <sheetName val="Sch_BS_Assets"/>
      <sheetName val="Sch_BS_FA"/>
      <sheetName val="Sch_PL_Revenue"/>
      <sheetName val="Sch_PL_Exp"/>
      <sheetName val="Sheet1"/>
      <sheetName val="Sch_BS_Liabilities"/>
      <sheetName val="01-Balance sheet-IGAAP_AdaniEnt"/>
      <sheetName val="PL6-Revenue Bridge"/>
      <sheetName val="CoA"/>
      <sheetName val="ANAL"/>
      <sheetName val="Balance Sheet"/>
      <sheetName val="Masters"/>
      <sheetName val="BG Inputs"/>
      <sheetName val="FS"/>
      <sheetName val="DATA"/>
      <sheetName val="PC"/>
      <sheetName val="FACT"/>
      <sheetName val="BOQ"/>
      <sheetName val="Details"/>
      <sheetName val="REFNCOMPARE"/>
      <sheetName val="Colour Hierarchy"/>
      <sheetName val="LookupRanges"/>
      <sheetName val="Checks"/>
      <sheetName val="Timing"/>
      <sheetName val="Challan"/>
      <sheetName val="Parameters"/>
      <sheetName val="logsheet "/>
      <sheetName val="Customize Your Purchase Order"/>
      <sheetName val="COMI-M02"/>
      <sheetName val="Tax (Q)"/>
      <sheetName val="194C"/>
      <sheetName val="Checklist"/>
      <sheetName val="TB_Merged"/>
      <sheetName val="OEE"/>
      <sheetName val="Daywise"/>
      <sheetName val="Conditions"/>
      <sheetName val="Not Found recon"/>
      <sheetName val="Input Sheet"/>
      <sheetName val="FAR co Tangible"/>
      <sheetName val="Pulses"/>
      <sheetName val="Variables"/>
      <sheetName val="Allocate"/>
      <sheetName val="sep01"/>
      <sheetName val="IKB3"/>
      <sheetName val="DEG"/>
      <sheetName val="ifcw"/>
      <sheetName val="Main Bs"/>
    </sheetNames>
    <sheetDataSet>
      <sheetData sheetId="0">
        <row r="9">
          <cell r="E9" t="str">
            <v>CONSO_IGAAP</v>
          </cell>
        </row>
      </sheetData>
      <sheetData sheetId="1">
        <row r="11">
          <cell r="K11" t="str">
            <v>2011.JUN</v>
          </cell>
        </row>
      </sheetData>
      <sheetData sheetId="2"/>
      <sheetData sheetId="3">
        <row r="3">
          <cell r="E3" t="str">
            <v>CONSO_IGAAP</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 - not for distribution"/>
      <sheetName val="cr-board"/>
      <sheetName val="a-3"/>
      <sheetName val="a-3 internal"/>
      <sheetName val="a-4"/>
      <sheetName val="a-5"/>
      <sheetName val="a-7"/>
      <sheetName val="graph PA"/>
      <sheetName val="gk 01-00"/>
      <sheetName val="gk 01-00 jwk"/>
      <sheetName val="gk 12-99"/>
      <sheetName val="gk 11-99"/>
      <sheetName val="gk 10-99"/>
      <sheetName val="gk 09-99 "/>
      <sheetName val="gk 08-99"/>
      <sheetName val="ptc"/>
      <sheetName val="gk-contr 05-00"/>
      <sheetName val="gk-contr 01-00"/>
      <sheetName val="gk-contr 12-99"/>
      <sheetName val="gk-contr 10-99"/>
      <sheetName val="x-rate"/>
      <sheetName val="bh-jdeg"/>
      <sheetName val="CR-SUPLY"/>
      <sheetName val="gk-contract 01-00"/>
      <sheetName val="gk-contract 12-99"/>
      <sheetName val="gk-contract 10-99"/>
      <sheetName val="cr-board special"/>
      <sheetName val="a-3 special"/>
      <sheetName val="a3-int. special"/>
      <sheetName val="a4-special"/>
      <sheetName val="a-5 special"/>
      <sheetName val="fee+int"/>
      <sheetName val="gk 09-99"/>
      <sheetName val="77S(O)"/>
      <sheetName val="cr_-_not_for_distribution"/>
      <sheetName val="a-3_internal"/>
      <sheetName val="graph_PA"/>
      <sheetName val="gk_01-00"/>
      <sheetName val="gk_01-00_jwk"/>
      <sheetName val="gk_12-99"/>
      <sheetName val="gk_11-99"/>
      <sheetName val="gk_10-99"/>
      <sheetName val="gk_09-99_"/>
      <sheetName val="gk_08-99"/>
      <sheetName val="gk-contr_05-00"/>
      <sheetName val="gk-contr_01-00"/>
      <sheetName val="gk-contr_12-99"/>
      <sheetName val="gk-contr_10-99"/>
      <sheetName val="gk-contract_01-00"/>
      <sheetName val="gk-contract_12-99"/>
      <sheetName val="gk-contract_10-99"/>
      <sheetName val="cr-board_special"/>
      <sheetName val="a-3_special"/>
      <sheetName val="a3-int__special"/>
      <sheetName val="a-5_special"/>
      <sheetName val="gk_09-99"/>
      <sheetName val="cr_-_not_for_distribution1"/>
      <sheetName val="a-3_internal1"/>
      <sheetName val="graph_PA1"/>
      <sheetName val="gk_01-001"/>
      <sheetName val="gk_01-00_jwk1"/>
      <sheetName val="gk_12-991"/>
      <sheetName val="gk_11-991"/>
      <sheetName val="gk_10-991"/>
      <sheetName val="gk_09-99_1"/>
      <sheetName val="gk_08-991"/>
      <sheetName val="gk-contr_05-001"/>
      <sheetName val="gk-contr_01-001"/>
      <sheetName val="gk-contr_12-991"/>
      <sheetName val="gk-contr_10-991"/>
      <sheetName val="gk-contract_01-001"/>
      <sheetName val="gk-contract_12-991"/>
      <sheetName val="gk-contract_10-991"/>
      <sheetName val="cr-board_special1"/>
      <sheetName val="a-3_special1"/>
      <sheetName val="a3-int__special1"/>
      <sheetName val="a-5_special1"/>
      <sheetName val="gk_09-991"/>
      <sheetName val="cr_-_not_for_distribution2"/>
      <sheetName val="a-3_internal2"/>
      <sheetName val="graph_PA2"/>
      <sheetName val="gk_01-002"/>
      <sheetName val="gk_01-00_jwk2"/>
      <sheetName val="gk_12-992"/>
      <sheetName val="gk_11-992"/>
      <sheetName val="gk_10-992"/>
      <sheetName val="gk_09-99_2"/>
      <sheetName val="gk_08-992"/>
      <sheetName val="gk-contr_05-002"/>
      <sheetName val="gk-contr_01-002"/>
      <sheetName val="gk-contr_12-992"/>
      <sheetName val="gk-contr_10-992"/>
      <sheetName val="gk-contract_01-002"/>
      <sheetName val="gk-contract_12-992"/>
      <sheetName val="gk-contract_10-992"/>
      <sheetName val="cr-board_special2"/>
      <sheetName val="a-3_special2"/>
      <sheetName val="a3-int__special2"/>
      <sheetName val="a-5_special2"/>
      <sheetName val="gk_09-992"/>
      <sheetName val="cr_-_not_for_distribution3"/>
      <sheetName val="a-3_internal3"/>
      <sheetName val="graph_PA3"/>
      <sheetName val="gk_01-003"/>
      <sheetName val="gk_01-00_jwk3"/>
      <sheetName val="gk_12-993"/>
      <sheetName val="gk_11-993"/>
      <sheetName val="gk_10-993"/>
      <sheetName val="gk_09-99_3"/>
      <sheetName val="gk_08-993"/>
      <sheetName val="gk-contr_05-003"/>
      <sheetName val="gk-contr_01-003"/>
      <sheetName val="gk-contr_12-993"/>
      <sheetName val="gk-contr_10-993"/>
      <sheetName val="gk-contract_01-003"/>
      <sheetName val="gk-contract_12-993"/>
      <sheetName val="gk-contract_10-993"/>
      <sheetName val="cr-board_special3"/>
      <sheetName val="a-3_special3"/>
      <sheetName val="a3-int__special3"/>
      <sheetName val="a-5_special3"/>
      <sheetName val="gk_09-993"/>
      <sheetName val="PGW-ACCOUNTS"/>
      <sheetName val="1612.01AN(7) - Niep Tds Summary"/>
      <sheetName val="BS"/>
      <sheetName val="1612_01AN(7)_-_Niep_Tds_Summary"/>
      <sheetName val="ASSAY-new"/>
      <sheetName val="1612_01AN(7)_-_Niep_Tds_Summar1"/>
      <sheetName val="1612_01AN(7)_-_Niep_Tds_Summar2"/>
      <sheetName val="a_4"/>
      <sheetName val="p&amp;l"/>
      <sheetName val="Scenarios"/>
      <sheetName val="x_rate"/>
      <sheetName val="Rev Working"/>
      <sheetName val="Sheet2"/>
      <sheetName val="1612_01AN(7)_-_Niep_Tds_Summar3"/>
      <sheetName val="Interest 30-11-01 not PA 7%"/>
      <sheetName val="Cons"/>
      <sheetName val="diffbetphy&amp;stock"/>
      <sheetName val="12"/>
      <sheetName val="15"/>
      <sheetName val="cr_-_not_for_distribution4"/>
      <sheetName val="a-3_internal4"/>
      <sheetName val="graph_PA4"/>
      <sheetName val="gk_01-004"/>
      <sheetName val="gk_01-00_jwk4"/>
      <sheetName val="gk_12-994"/>
      <sheetName val="gk_11-994"/>
      <sheetName val="gk_10-994"/>
      <sheetName val="gk_09-99_4"/>
      <sheetName val="gk_08-994"/>
      <sheetName val="gk-contr_05-004"/>
      <sheetName val="gk-contr_01-004"/>
      <sheetName val="gk-contr_12-994"/>
      <sheetName val="gk-contr_10-994"/>
      <sheetName val="gk-contract_01-004"/>
      <sheetName val="gk-contract_12-994"/>
      <sheetName val="gk-contract_10-994"/>
      <sheetName val="cr-board_special4"/>
      <sheetName val="a-3_special4"/>
      <sheetName val="a3-int__special4"/>
      <sheetName val="a-5_special4"/>
      <sheetName val="gk_09-994"/>
      <sheetName val="1612_01AN(7)_-_Niep_Tds_Summar4"/>
      <sheetName val="Rev_Working"/>
      <sheetName val="Interest_30-11-01_not_PA_7%"/>
      <sheetName val="Settings"/>
      <sheetName val="BALANCE SHEET"/>
      <sheetName val="CE"/>
      <sheetName val="cr_-_not_for_distribution5"/>
      <sheetName val="a-3_internal5"/>
      <sheetName val="graph_PA5"/>
      <sheetName val="gk_01-005"/>
      <sheetName val="gk_01-00_jwk5"/>
      <sheetName val="gk_12-995"/>
      <sheetName val="gk_11-995"/>
      <sheetName val="gk_10-995"/>
      <sheetName val="gk_09-99_5"/>
      <sheetName val="gk_08-995"/>
      <sheetName val="gk-contr_05-005"/>
      <sheetName val="gk-contr_01-005"/>
      <sheetName val="gk-contr_12-995"/>
      <sheetName val="gk-contr_10-995"/>
      <sheetName val="gk-contract_01-005"/>
      <sheetName val="gk-contract_12-995"/>
      <sheetName val="gk-contract_10-995"/>
      <sheetName val="cr-board_special5"/>
      <sheetName val="a-3_special5"/>
      <sheetName val="a3-int__special5"/>
      <sheetName val="a-5_special5"/>
      <sheetName val="gk_09-995"/>
      <sheetName val="1612_01AN(7)_-_Niep_Tds_Summar5"/>
      <sheetName val="Rev_Working1"/>
      <sheetName val="Interest_30-11-01_not_PA_7%1"/>
      <sheetName val="PL"/>
      <sheetName val="Jun 2012"/>
      <sheetName val="Clause 9"/>
      <sheetName val="sum"/>
      <sheetName val="Conditions"/>
      <sheetName val="DATA INPUT"/>
      <sheetName val="LANDED PRICE"/>
      <sheetName val="POLY"/>
      <sheetName val="API"/>
      <sheetName val="NCE"/>
      <sheetName val="EU"/>
      <sheetName val="Latam"/>
      <sheetName val="ROW"/>
      <sheetName val="Inputs"/>
      <sheetName val="Accounts"/>
      <sheetName val="BLK2"/>
      <sheetName val="BLK3"/>
      <sheetName val="INPUT SHEET"/>
      <sheetName val="RES-PLANNING"/>
      <sheetName val="radar"/>
      <sheetName val="E &amp; R"/>
      <sheetName val="summary"/>
      <sheetName val="310480 as on 311207"/>
      <sheetName val="310280 on 310307 (070607)"/>
      <sheetName val="Hyp-mstr"/>
      <sheetName val="Data Summary"/>
      <sheetName val="fcl"/>
      <sheetName val="Analysis"/>
      <sheetName val="SLTTRPSU"/>
      <sheetName val="Int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
          <cell r="A2" t="str">
            <v>AUD</v>
          </cell>
          <cell r="B2">
            <v>1.65</v>
          </cell>
        </row>
        <row r="3">
          <cell r="A3" t="str">
            <v>BEF</v>
          </cell>
          <cell r="B3">
            <v>36.610897000000001</v>
          </cell>
        </row>
        <row r="4">
          <cell r="A4" t="str">
            <v>CHF</v>
          </cell>
          <cell r="B4">
            <v>1.5</v>
          </cell>
        </row>
        <row r="5">
          <cell r="A5" t="str">
            <v>DEM</v>
          </cell>
          <cell r="B5">
            <v>1.775034</v>
          </cell>
        </row>
        <row r="6">
          <cell r="A6" t="str">
            <v>FRF</v>
          </cell>
          <cell r="B6">
            <v>5.9532059999999998</v>
          </cell>
        </row>
        <row r="7">
          <cell r="A7" t="str">
            <v>GBP</v>
          </cell>
          <cell r="B7">
            <v>0.6</v>
          </cell>
        </row>
        <row r="8">
          <cell r="A8" t="str">
            <v>ITL</v>
          </cell>
          <cell r="B8">
            <v>1757.2820380000001</v>
          </cell>
        </row>
        <row r="9">
          <cell r="A9" t="str">
            <v>NLG</v>
          </cell>
          <cell r="B9">
            <v>2</v>
          </cell>
        </row>
        <row r="10">
          <cell r="A10" t="str">
            <v>USD</v>
          </cell>
          <cell r="B10">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35">
          <cell r="E35">
            <v>55724.666666666672</v>
          </cell>
        </row>
      </sheetData>
      <sheetData sheetId="94">
        <row r="35">
          <cell r="E35">
            <v>55724.666666666672</v>
          </cell>
        </row>
      </sheetData>
      <sheetData sheetId="95">
        <row r="35">
          <cell r="E35">
            <v>55724.666666666672</v>
          </cell>
        </row>
      </sheetData>
      <sheetData sheetId="96">
        <row r="35">
          <cell r="E35">
            <v>55724.666666666672</v>
          </cell>
        </row>
      </sheetData>
      <sheetData sheetId="97">
        <row r="35">
          <cell r="E35">
            <v>55724.666666666672</v>
          </cell>
        </row>
      </sheetData>
      <sheetData sheetId="98">
        <row r="35">
          <cell r="E35">
            <v>55724.666666666672</v>
          </cell>
        </row>
      </sheetData>
      <sheetData sheetId="99">
        <row r="35">
          <cell r="E35">
            <v>55724.666666666672</v>
          </cell>
        </row>
      </sheetData>
      <sheetData sheetId="100">
        <row r="35">
          <cell r="E35">
            <v>55724.666666666672</v>
          </cell>
        </row>
      </sheetData>
      <sheetData sheetId="101">
        <row r="35">
          <cell r="E35">
            <v>55724.666666666672</v>
          </cell>
        </row>
      </sheetData>
      <sheetData sheetId="102">
        <row r="35">
          <cell r="E35">
            <v>55724.666666666672</v>
          </cell>
        </row>
      </sheetData>
      <sheetData sheetId="103">
        <row r="35">
          <cell r="E35">
            <v>55724.666666666672</v>
          </cell>
        </row>
      </sheetData>
      <sheetData sheetId="104">
        <row r="35">
          <cell r="E35">
            <v>55724.666666666672</v>
          </cell>
        </row>
      </sheetData>
      <sheetData sheetId="105">
        <row r="35">
          <cell r="E35">
            <v>55724.666666666672</v>
          </cell>
        </row>
      </sheetData>
      <sheetData sheetId="106">
        <row r="35">
          <cell r="E35">
            <v>55724.666666666672</v>
          </cell>
        </row>
      </sheetData>
      <sheetData sheetId="107">
        <row r="35">
          <cell r="E35">
            <v>55724.666666666672</v>
          </cell>
        </row>
      </sheetData>
      <sheetData sheetId="108">
        <row r="35">
          <cell r="E35">
            <v>55724.666666666672</v>
          </cell>
        </row>
      </sheetData>
      <sheetData sheetId="109">
        <row r="35">
          <cell r="E35">
            <v>55724.666666666672</v>
          </cell>
        </row>
      </sheetData>
      <sheetData sheetId="110">
        <row r="35">
          <cell r="E35">
            <v>55724.666666666672</v>
          </cell>
        </row>
      </sheetData>
      <sheetData sheetId="111">
        <row r="35">
          <cell r="E35">
            <v>55724.666666666672</v>
          </cell>
        </row>
      </sheetData>
      <sheetData sheetId="112">
        <row r="35">
          <cell r="E35">
            <v>55724.666666666672</v>
          </cell>
        </row>
      </sheetData>
      <sheetData sheetId="113">
        <row r="35">
          <cell r="E35">
            <v>55724.666666666672</v>
          </cell>
        </row>
      </sheetData>
      <sheetData sheetId="114">
        <row r="35">
          <cell r="E35">
            <v>55724.666666666672</v>
          </cell>
        </row>
      </sheetData>
      <sheetData sheetId="115">
        <row r="35">
          <cell r="E35">
            <v>55724.666666666672</v>
          </cell>
        </row>
      </sheetData>
      <sheetData sheetId="116">
        <row r="35">
          <cell r="E35">
            <v>55724.666666666672</v>
          </cell>
        </row>
      </sheetData>
      <sheetData sheetId="117">
        <row r="35">
          <cell r="E35">
            <v>55724.666666666672</v>
          </cell>
        </row>
      </sheetData>
      <sheetData sheetId="118">
        <row r="35">
          <cell r="E35">
            <v>55724.666666666672</v>
          </cell>
        </row>
      </sheetData>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35">
          <cell r="E35">
            <v>55724.666666666672</v>
          </cell>
        </row>
      </sheetData>
      <sheetData sheetId="142">
        <row r="35">
          <cell r="E35">
            <v>55724.666666666672</v>
          </cell>
        </row>
      </sheetData>
      <sheetData sheetId="143">
        <row r="35">
          <cell r="E35">
            <v>55724.666666666672</v>
          </cell>
        </row>
      </sheetData>
      <sheetData sheetId="144">
        <row r="35">
          <cell r="E35">
            <v>55724.666666666672</v>
          </cell>
        </row>
      </sheetData>
      <sheetData sheetId="145">
        <row r="35">
          <cell r="E35">
            <v>55724.666666666672</v>
          </cell>
        </row>
      </sheetData>
      <sheetData sheetId="146">
        <row r="35">
          <cell r="E35">
            <v>55724.666666666672</v>
          </cell>
        </row>
      </sheetData>
      <sheetData sheetId="147">
        <row r="35">
          <cell r="E35">
            <v>55724.666666666672</v>
          </cell>
        </row>
      </sheetData>
      <sheetData sheetId="148">
        <row r="35">
          <cell r="E35">
            <v>55724.666666666672</v>
          </cell>
        </row>
      </sheetData>
      <sheetData sheetId="149">
        <row r="35">
          <cell r="E35">
            <v>55724.666666666672</v>
          </cell>
        </row>
      </sheetData>
      <sheetData sheetId="150">
        <row r="35">
          <cell r="E35">
            <v>55724.666666666672</v>
          </cell>
        </row>
      </sheetData>
      <sheetData sheetId="151">
        <row r="35">
          <cell r="E35">
            <v>55724.666666666672</v>
          </cell>
        </row>
      </sheetData>
      <sheetData sheetId="152">
        <row r="35">
          <cell r="E35">
            <v>55724.666666666672</v>
          </cell>
        </row>
      </sheetData>
      <sheetData sheetId="153">
        <row r="35">
          <cell r="E35">
            <v>55724.666666666672</v>
          </cell>
        </row>
      </sheetData>
      <sheetData sheetId="154">
        <row r="35">
          <cell r="E35">
            <v>55724.666666666672</v>
          </cell>
        </row>
      </sheetData>
      <sheetData sheetId="155">
        <row r="35">
          <cell r="E35">
            <v>55724.666666666672</v>
          </cell>
        </row>
      </sheetData>
      <sheetData sheetId="156">
        <row r="35">
          <cell r="E35">
            <v>55724.666666666672</v>
          </cell>
        </row>
      </sheetData>
      <sheetData sheetId="157">
        <row r="35">
          <cell r="E35">
            <v>55724.666666666672</v>
          </cell>
        </row>
      </sheetData>
      <sheetData sheetId="158">
        <row r="35">
          <cell r="E35">
            <v>55724.666666666672</v>
          </cell>
        </row>
      </sheetData>
      <sheetData sheetId="159">
        <row r="35">
          <cell r="E35">
            <v>55724.666666666672</v>
          </cell>
        </row>
      </sheetData>
      <sheetData sheetId="160">
        <row r="35">
          <cell r="E35">
            <v>55724.666666666672</v>
          </cell>
        </row>
      </sheetData>
      <sheetData sheetId="161">
        <row r="35">
          <cell r="E35">
            <v>55724.666666666672</v>
          </cell>
        </row>
      </sheetData>
      <sheetData sheetId="162"/>
      <sheetData sheetId="163"/>
      <sheetData sheetId="164"/>
      <sheetData sheetId="165"/>
      <sheetData sheetId="166" refreshError="1"/>
      <sheetData sheetId="167" refreshError="1"/>
      <sheetData sheetId="168" refreshError="1"/>
      <sheetData sheetId="169">
        <row r="35">
          <cell r="E35">
            <v>55724.666666666672</v>
          </cell>
        </row>
      </sheetData>
      <sheetData sheetId="170">
        <row r="35">
          <cell r="E35">
            <v>55724.666666666672</v>
          </cell>
        </row>
      </sheetData>
      <sheetData sheetId="171">
        <row r="35">
          <cell r="E35">
            <v>55724.666666666672</v>
          </cell>
        </row>
      </sheetData>
      <sheetData sheetId="172">
        <row r="35">
          <cell r="E35">
            <v>55724.666666666672</v>
          </cell>
        </row>
      </sheetData>
      <sheetData sheetId="173">
        <row r="35">
          <cell r="E35">
            <v>55724.666666666672</v>
          </cell>
        </row>
      </sheetData>
      <sheetData sheetId="174">
        <row r="35">
          <cell r="E35">
            <v>55724.666666666672</v>
          </cell>
        </row>
      </sheetData>
      <sheetData sheetId="175">
        <row r="35">
          <cell r="E35">
            <v>55724.666666666672</v>
          </cell>
        </row>
      </sheetData>
      <sheetData sheetId="176">
        <row r="35">
          <cell r="E35">
            <v>55724.666666666672</v>
          </cell>
        </row>
      </sheetData>
      <sheetData sheetId="177">
        <row r="35">
          <cell r="E35">
            <v>55724.666666666672</v>
          </cell>
        </row>
      </sheetData>
      <sheetData sheetId="178"/>
      <sheetData sheetId="179"/>
      <sheetData sheetId="180"/>
      <sheetData sheetId="181"/>
      <sheetData sheetId="182"/>
      <sheetData sheetId="183">
        <row r="35">
          <cell r="E35">
            <v>55724.666666666672</v>
          </cell>
        </row>
      </sheetData>
      <sheetData sheetId="184">
        <row r="35">
          <cell r="E35">
            <v>55724.666666666672</v>
          </cell>
        </row>
      </sheetData>
      <sheetData sheetId="185">
        <row r="35">
          <cell r="E35">
            <v>55724.666666666672</v>
          </cell>
        </row>
      </sheetData>
      <sheetData sheetId="186">
        <row r="35">
          <cell r="E35">
            <v>55724.666666666672</v>
          </cell>
        </row>
      </sheetData>
      <sheetData sheetId="187">
        <row r="35">
          <cell r="E35">
            <v>55724.666666666672</v>
          </cell>
        </row>
      </sheetData>
      <sheetData sheetId="188">
        <row r="35">
          <cell r="E35">
            <v>55724.666666666672</v>
          </cell>
        </row>
      </sheetData>
      <sheetData sheetId="189">
        <row r="35">
          <cell r="E35">
            <v>55724.666666666672</v>
          </cell>
        </row>
      </sheetData>
      <sheetData sheetId="190">
        <row r="35">
          <cell r="E35">
            <v>55724.666666666672</v>
          </cell>
        </row>
      </sheetData>
      <sheetData sheetId="191">
        <row r="35">
          <cell r="E35">
            <v>55724.666666666672</v>
          </cell>
        </row>
      </sheetData>
      <sheetData sheetId="192">
        <row r="35">
          <cell r="E35">
            <v>55724.666666666672</v>
          </cell>
        </row>
      </sheetData>
      <sheetData sheetId="193">
        <row r="35">
          <cell r="E35">
            <v>55724.666666666672</v>
          </cell>
        </row>
      </sheetData>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deduction"/>
      <sheetName val="addition"/>
      <sheetName val="fcl"/>
      <sheetName val="Opinion"/>
      <sheetName val="List of Vendors"/>
      <sheetName val="Assumptions"/>
      <sheetName val="16.IC-RP list"/>
      <sheetName val="Sheet BAL'N SHEET"/>
      <sheetName val="Chiet tinh"/>
      <sheetName val="HBI NCD"/>
      <sheetName val="Cover sheet"/>
      <sheetName val="REGMAIN"/>
      <sheetName val="Data"/>
      <sheetName val="MAINBS1"/>
      <sheetName val="Interest 30-11-01 not PA 7%"/>
      <sheetName val="x-rate"/>
      <sheetName val="Mar 05 tb"/>
      <sheetName val="Sheet3"/>
      <sheetName val="P&amp;LSC"/>
      <sheetName val="TB-9-01"/>
      <sheetName val="Params"/>
      <sheetName val="Labour"/>
      <sheetName val="Material"/>
      <sheetName val="Plant &amp;  Machinery"/>
      <sheetName val="Sheet1"/>
      <sheetName val="海外WORK"/>
      <sheetName val="Control Panel"/>
      <sheetName val="Projectwise"/>
      <sheetName val="SALREGJUNEFIXED"/>
      <sheetName val="FROM2"/>
      <sheetName val="KT19900"/>
      <sheetName val="Ins Erection"/>
    </sheetNames>
    <sheetDataSet>
      <sheetData sheetId="0"/>
      <sheetData sheetId="1" refreshError="1">
        <row r="1">
          <cell r="F1" t="str">
            <v>Preliminary</v>
          </cell>
          <cell r="I1" t="str">
            <v>RJE</v>
          </cell>
          <cell r="J1" t="str">
            <v>Final</v>
          </cell>
          <cell r="K1" t="str">
            <v>PY1</v>
          </cell>
        </row>
        <row r="3">
          <cell r="F3">
            <v>0</v>
          </cell>
          <cell r="I3">
            <v>0</v>
          </cell>
          <cell r="J3">
            <v>0</v>
          </cell>
          <cell r="K3">
            <v>0</v>
          </cell>
        </row>
        <row r="4">
          <cell r="F4">
            <v>-83934350</v>
          </cell>
          <cell r="I4">
            <v>0</v>
          </cell>
          <cell r="J4">
            <v>-83934350</v>
          </cell>
          <cell r="K4">
            <v>0</v>
          </cell>
        </row>
        <row r="5">
          <cell r="F5">
            <v>0</v>
          </cell>
          <cell r="I5">
            <v>0</v>
          </cell>
          <cell r="J5">
            <v>0</v>
          </cell>
          <cell r="K5">
            <v>0</v>
          </cell>
        </row>
        <row r="7">
          <cell r="F7">
            <v>2043291910.6700001</v>
          </cell>
          <cell r="I7">
            <v>0</v>
          </cell>
          <cell r="J7">
            <v>2043291910.6700001</v>
          </cell>
          <cell r="K7">
            <v>0</v>
          </cell>
        </row>
        <row r="8">
          <cell r="F8">
            <v>2043291910.6700001</v>
          </cell>
          <cell r="I8">
            <v>0</v>
          </cell>
          <cell r="J8">
            <v>2043291910.6700001</v>
          </cell>
          <cell r="K8">
            <v>0</v>
          </cell>
        </row>
        <row r="9">
          <cell r="F9">
            <v>2043334473</v>
          </cell>
          <cell r="I9">
            <v>0</v>
          </cell>
          <cell r="J9">
            <v>2043334473</v>
          </cell>
          <cell r="K9">
            <v>0</v>
          </cell>
        </row>
        <row r="10">
          <cell r="F10">
            <v>0</v>
          </cell>
          <cell r="I10">
            <v>0</v>
          </cell>
          <cell r="J10">
            <v>0</v>
          </cell>
          <cell r="K10">
            <v>0</v>
          </cell>
        </row>
        <row r="12">
          <cell r="F12">
            <v>5039253116.7700005</v>
          </cell>
          <cell r="I12">
            <v>0</v>
          </cell>
          <cell r="J12">
            <v>5039253116.7700005</v>
          </cell>
          <cell r="K12">
            <v>0</v>
          </cell>
        </row>
        <row r="13">
          <cell r="F13">
            <v>121840505</v>
          </cell>
          <cell r="I13">
            <v>0</v>
          </cell>
          <cell r="J13">
            <v>121840505</v>
          </cell>
          <cell r="K13">
            <v>0</v>
          </cell>
        </row>
        <row r="14">
          <cell r="F14">
            <v>310777863.79000002</v>
          </cell>
          <cell r="I14">
            <v>0</v>
          </cell>
          <cell r="J14">
            <v>310777863.79000002</v>
          </cell>
          <cell r="K14">
            <v>0</v>
          </cell>
        </row>
        <row r="15">
          <cell r="F15">
            <v>15569965</v>
          </cell>
          <cell r="I15">
            <v>0</v>
          </cell>
          <cell r="J15">
            <v>15569965</v>
          </cell>
          <cell r="K15">
            <v>0</v>
          </cell>
        </row>
        <row r="16">
          <cell r="F16">
            <v>5487441450.5600004</v>
          </cell>
          <cell r="I16">
            <v>0</v>
          </cell>
          <cell r="J16">
            <v>5487441450.5600004</v>
          </cell>
          <cell r="K16">
            <v>0</v>
          </cell>
        </row>
        <row r="17">
          <cell r="F17">
            <v>7530733361.2300005</v>
          </cell>
          <cell r="I17">
            <v>0</v>
          </cell>
          <cell r="J17">
            <v>7530733361.2300005</v>
          </cell>
          <cell r="K17">
            <v>0</v>
          </cell>
        </row>
        <row r="18">
          <cell r="F18">
            <v>0</v>
          </cell>
          <cell r="I18">
            <v>0</v>
          </cell>
          <cell r="J18">
            <v>0</v>
          </cell>
          <cell r="K18">
            <v>0</v>
          </cell>
        </row>
        <row r="19">
          <cell r="F19">
            <v>0</v>
          </cell>
          <cell r="I19">
            <v>0</v>
          </cell>
          <cell r="J19">
            <v>0</v>
          </cell>
          <cell r="K19">
            <v>0</v>
          </cell>
        </row>
        <row r="20">
          <cell r="F20">
            <v>0</v>
          </cell>
          <cell r="I20">
            <v>0</v>
          </cell>
          <cell r="J20">
            <v>0</v>
          </cell>
          <cell r="K20">
            <v>0</v>
          </cell>
        </row>
        <row r="21">
          <cell r="F21">
            <v>3150</v>
          </cell>
          <cell r="I21">
            <v>0</v>
          </cell>
          <cell r="J21">
            <v>3150</v>
          </cell>
          <cell r="K21">
            <v>0</v>
          </cell>
        </row>
        <row r="22">
          <cell r="F22">
            <v>7875</v>
          </cell>
          <cell r="I22">
            <v>0</v>
          </cell>
          <cell r="J22">
            <v>7875</v>
          </cell>
          <cell r="K22">
            <v>0</v>
          </cell>
        </row>
        <row r="23">
          <cell r="F23">
            <v>9333</v>
          </cell>
          <cell r="I23">
            <v>0</v>
          </cell>
          <cell r="J23">
            <v>9333</v>
          </cell>
          <cell r="K23">
            <v>0</v>
          </cell>
        </row>
        <row r="24">
          <cell r="F24">
            <v>0</v>
          </cell>
          <cell r="I24">
            <v>0</v>
          </cell>
          <cell r="J24">
            <v>0</v>
          </cell>
          <cell r="K24">
            <v>0</v>
          </cell>
        </row>
        <row r="25">
          <cell r="F25">
            <v>30400</v>
          </cell>
          <cell r="I25">
            <v>0</v>
          </cell>
          <cell r="J25">
            <v>30400</v>
          </cell>
          <cell r="K25">
            <v>0</v>
          </cell>
        </row>
        <row r="26">
          <cell r="F26">
            <v>-2700</v>
          </cell>
          <cell r="I26">
            <v>0</v>
          </cell>
          <cell r="J26">
            <v>-2700</v>
          </cell>
          <cell r="K26">
            <v>0</v>
          </cell>
        </row>
        <row r="27">
          <cell r="F27">
            <v>0</v>
          </cell>
          <cell r="I27">
            <v>0</v>
          </cell>
          <cell r="J27">
            <v>0</v>
          </cell>
          <cell r="K27">
            <v>0</v>
          </cell>
        </row>
        <row r="28">
          <cell r="F28">
            <v>0</v>
          </cell>
          <cell r="I28">
            <v>0</v>
          </cell>
          <cell r="J28">
            <v>0</v>
          </cell>
          <cell r="K28">
            <v>0</v>
          </cell>
        </row>
        <row r="29">
          <cell r="F29">
            <v>0</v>
          </cell>
          <cell r="I29">
            <v>0</v>
          </cell>
          <cell r="J29">
            <v>0</v>
          </cell>
          <cell r="K29">
            <v>0</v>
          </cell>
        </row>
        <row r="30">
          <cell r="F30">
            <v>6800</v>
          </cell>
          <cell r="I30">
            <v>0</v>
          </cell>
          <cell r="J30">
            <v>6800</v>
          </cell>
          <cell r="K30">
            <v>0</v>
          </cell>
        </row>
        <row r="31">
          <cell r="F31">
            <v>5455134876</v>
          </cell>
          <cell r="I31">
            <v>0</v>
          </cell>
          <cell r="J31">
            <v>5455134876</v>
          </cell>
          <cell r="K31">
            <v>0</v>
          </cell>
        </row>
        <row r="32">
          <cell r="F32">
            <v>4357837563</v>
          </cell>
          <cell r="I32">
            <v>0</v>
          </cell>
          <cell r="J32">
            <v>4357837563</v>
          </cell>
          <cell r="K32">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IV "/>
      <sheetName val="51-CAPITAL 2003-04"/>
      <sheetName val="CREDIT NOTE - Q3 (2)"/>
      <sheetName val="Trial Balance - Dec 2005 AUDIT"/>
      <sheetName val="EPS 2001-2002"/>
      <sheetName val="EPS 2002-2003"/>
      <sheetName val="FIXED ASSETS SCH IV -june 2005 "/>
      <sheetName val="FIXED ASSETS SCH IV -Sept 2005 "/>
      <sheetName val="DTA _ MAT SEP 05"/>
      <sheetName val="FIXED ASSETS SCH IV - MARCH 06"/>
      <sheetName val="CREDIT NOTE - Q3"/>
      <sheetName val="MISC"/>
      <sheetName val="F. ASSTS  DEP SCH -IT  2004-05 "/>
      <sheetName val="CLARF"/>
      <sheetName val="Notes on Accts MAR 06- Point 14"/>
      <sheetName val="Notes MAR 06- Point 14 (cont)"/>
      <sheetName val="RELATED PARTY INFO"/>
      <sheetName val=" Geo Segment 2005-06"/>
      <sheetName val="Segment P&amp;L MAR06 WKGS"/>
      <sheetName val="Segment BS MAR06 WKGS"/>
      <sheetName val="Interest Sum - MAR 06 GL RECO "/>
      <sheetName val=" Related Party  MAR 2006 "/>
      <sheetName val="Notes on Accts - Point 23"/>
      <sheetName val="Sheet1"/>
      <sheetName val="Trial Balance - MARCH 2006"/>
      <sheetName val="P&amp;L  - Mar 2006"/>
      <sheetName val="Cash Flow  2005_2006"/>
      <sheetName val="Balance Sheet - March 2006"/>
      <sheetName val="IT DEP 0506 "/>
      <sheetName val="DTA _ MAT MAR 06 "/>
      <sheetName val="Cash Flow  DEC 2005 "/>
      <sheetName val=" Geo Segment DEC 2005"/>
      <sheetName val="POINT NO. 14  Geo Segment 0405"/>
      <sheetName val="POINT NO.15 Related Party 0405 "/>
      <sheetName val="Cash Flow  2004_2005"/>
      <sheetName val=" Related Party "/>
      <sheetName val=" Related Party  (2)"/>
      <sheetName val="EPS 2"/>
      <sheetName val="EPS 1"/>
      <sheetName val="Sheet4"/>
      <sheetName val="CASH&amp;BANK"/>
      <sheetName val="DEBTORS"/>
      <sheetName val="INVENTORIES"/>
      <sheetName val="LOANS &amp; ADV"/>
      <sheetName val="Sheet3"/>
      <sheetName val="HBI NCD"/>
      <sheetName val="Links"/>
      <sheetName val="A 3.7"/>
      <sheetName val="C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2">
          <cell r="I2">
            <v>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H38"/>
  <sheetViews>
    <sheetView showGridLines="0" view="pageBreakPreview" zoomScale="80" zoomScaleNormal="100" zoomScaleSheetLayoutView="80" workbookViewId="0">
      <selection activeCell="M26" sqref="M26"/>
    </sheetView>
  </sheetViews>
  <sheetFormatPr defaultColWidth="9.140625" defaultRowHeight="12.75" x14ac:dyDescent="0.2"/>
  <cols>
    <col min="1" max="1" width="9.140625" style="211"/>
    <col min="2" max="2" width="7.42578125" style="211" customWidth="1"/>
    <col min="3" max="3" width="9.140625" style="211" hidden="1" customWidth="1"/>
    <col min="4" max="4" width="50.28515625" style="211" customWidth="1"/>
    <col min="5" max="5" width="15.140625" style="211" bestFit="1" customWidth="1"/>
    <col min="6" max="16384" width="9.140625" style="211"/>
  </cols>
  <sheetData>
    <row r="3" spans="1:8" ht="32.25" customHeight="1" x14ac:dyDescent="0.2">
      <c r="D3" s="228" t="s">
        <v>377</v>
      </c>
      <c r="F3" s="4"/>
    </row>
    <row r="4" spans="1:8" ht="15" x14ac:dyDescent="0.2">
      <c r="D4" s="1" t="s">
        <v>294</v>
      </c>
      <c r="F4" s="4"/>
    </row>
    <row r="5" spans="1:8" ht="15.75" x14ac:dyDescent="0.25">
      <c r="E5" s="210"/>
    </row>
    <row r="6" spans="1:8" ht="15" x14ac:dyDescent="0.25">
      <c r="A6" s="212"/>
      <c r="B6" s="212"/>
      <c r="C6" s="212"/>
      <c r="D6" s="212"/>
      <c r="E6" s="213"/>
      <c r="F6" s="212"/>
      <c r="G6" s="212"/>
      <c r="H6" s="212"/>
    </row>
    <row r="7" spans="1:8" ht="48" customHeight="1" x14ac:dyDescent="0.25">
      <c r="A7" s="212"/>
      <c r="B7" s="215" t="s">
        <v>326</v>
      </c>
      <c r="C7" s="215"/>
      <c r="D7" s="215" t="s">
        <v>327</v>
      </c>
      <c r="E7" s="215" t="s">
        <v>328</v>
      </c>
      <c r="F7" s="212"/>
      <c r="G7" s="212"/>
      <c r="H7" s="212"/>
    </row>
    <row r="8" spans="1:8" ht="15" x14ac:dyDescent="0.25">
      <c r="A8" s="212"/>
      <c r="B8" s="214">
        <v>1</v>
      </c>
      <c r="C8" s="214"/>
      <c r="D8" s="214" t="s">
        <v>168</v>
      </c>
      <c r="E8" s="216" t="s">
        <v>323</v>
      </c>
      <c r="F8" s="212"/>
      <c r="G8" s="212"/>
      <c r="H8" s="212"/>
    </row>
    <row r="9" spans="1:8" ht="15" x14ac:dyDescent="0.25">
      <c r="A9" s="212"/>
      <c r="B9" s="214">
        <v>2</v>
      </c>
      <c r="C9" s="214"/>
      <c r="D9" s="214" t="s">
        <v>329</v>
      </c>
      <c r="E9" s="216" t="s">
        <v>324</v>
      </c>
      <c r="F9" s="212"/>
      <c r="G9" s="212"/>
      <c r="H9" s="212"/>
    </row>
    <row r="10" spans="1:8" ht="15" x14ac:dyDescent="0.25">
      <c r="A10" s="212"/>
      <c r="B10" s="214">
        <v>3</v>
      </c>
      <c r="C10" s="214"/>
      <c r="D10" s="214" t="s">
        <v>330</v>
      </c>
      <c r="E10" s="216" t="s">
        <v>325</v>
      </c>
      <c r="F10" s="212"/>
      <c r="G10" s="212"/>
      <c r="H10" s="212"/>
    </row>
    <row r="11" spans="1:8" ht="15" x14ac:dyDescent="0.25">
      <c r="A11" s="212"/>
      <c r="B11" s="214">
        <v>4</v>
      </c>
      <c r="C11" s="214"/>
      <c r="D11" s="214" t="s">
        <v>96</v>
      </c>
      <c r="E11" s="216" t="s">
        <v>353</v>
      </c>
      <c r="F11" s="212"/>
      <c r="G11" s="212"/>
      <c r="H11" s="212"/>
    </row>
    <row r="12" spans="1:8" ht="15" x14ac:dyDescent="0.25">
      <c r="A12" s="212"/>
      <c r="B12" s="214">
        <v>5</v>
      </c>
      <c r="C12" s="214"/>
      <c r="D12" s="214" t="s">
        <v>331</v>
      </c>
      <c r="E12" s="216" t="s">
        <v>354</v>
      </c>
      <c r="F12" s="212"/>
      <c r="G12" s="212"/>
      <c r="H12" s="212"/>
    </row>
    <row r="13" spans="1:8" ht="15" x14ac:dyDescent="0.25">
      <c r="A13" s="212"/>
      <c r="B13" s="214">
        <v>6</v>
      </c>
      <c r="C13" s="214"/>
      <c r="D13" s="214" t="s">
        <v>332</v>
      </c>
      <c r="E13" s="216" t="s">
        <v>355</v>
      </c>
      <c r="F13" s="212"/>
      <c r="G13" s="212"/>
      <c r="H13" s="212"/>
    </row>
    <row r="14" spans="1:8" ht="15" x14ac:dyDescent="0.25">
      <c r="A14" s="212"/>
      <c r="B14" s="214">
        <v>7</v>
      </c>
      <c r="C14" s="214"/>
      <c r="D14" s="214" t="s">
        <v>333</v>
      </c>
      <c r="E14" s="216" t="s">
        <v>356</v>
      </c>
      <c r="F14" s="212"/>
      <c r="G14" s="212"/>
      <c r="H14" s="212"/>
    </row>
    <row r="15" spans="1:8" ht="15" x14ac:dyDescent="0.25">
      <c r="A15" s="212"/>
      <c r="B15" s="214">
        <v>8</v>
      </c>
      <c r="C15" s="214"/>
      <c r="D15" s="214" t="s">
        <v>334</v>
      </c>
      <c r="E15" s="216" t="s">
        <v>357</v>
      </c>
      <c r="F15" s="212"/>
      <c r="G15" s="212"/>
      <c r="H15" s="212"/>
    </row>
    <row r="16" spans="1:8" ht="15" x14ac:dyDescent="0.25">
      <c r="A16" s="212"/>
      <c r="B16" s="214">
        <v>9</v>
      </c>
      <c r="C16" s="214"/>
      <c r="D16" s="214" t="s">
        <v>335</v>
      </c>
      <c r="E16" s="216" t="s">
        <v>358</v>
      </c>
      <c r="F16" s="212"/>
      <c r="G16" s="212"/>
      <c r="H16" s="212"/>
    </row>
    <row r="17" spans="1:8" ht="15" x14ac:dyDescent="0.25">
      <c r="A17" s="212"/>
      <c r="B17" s="214">
        <v>10</v>
      </c>
      <c r="C17" s="214"/>
      <c r="D17" s="214" t="s">
        <v>336</v>
      </c>
      <c r="E17" s="216" t="s">
        <v>359</v>
      </c>
      <c r="F17" s="212"/>
      <c r="G17" s="212"/>
      <c r="H17" s="212"/>
    </row>
    <row r="18" spans="1:8" ht="15" x14ac:dyDescent="0.25">
      <c r="A18" s="212"/>
      <c r="B18" s="214">
        <v>11</v>
      </c>
      <c r="C18" s="214"/>
      <c r="D18" s="214" t="s">
        <v>337</v>
      </c>
      <c r="E18" s="216" t="s">
        <v>360</v>
      </c>
      <c r="F18" s="212"/>
      <c r="G18" s="212"/>
      <c r="H18" s="212"/>
    </row>
    <row r="19" spans="1:8" ht="15" x14ac:dyDescent="0.25">
      <c r="A19" s="212"/>
      <c r="B19" s="214">
        <v>12</v>
      </c>
      <c r="C19" s="214"/>
      <c r="D19" s="214" t="s">
        <v>338</v>
      </c>
      <c r="E19" s="216" t="s">
        <v>361</v>
      </c>
      <c r="F19" s="212"/>
      <c r="G19" s="212"/>
      <c r="H19" s="212"/>
    </row>
    <row r="20" spans="1:8" ht="15" x14ac:dyDescent="0.25">
      <c r="A20" s="212"/>
      <c r="B20" s="214">
        <v>13</v>
      </c>
      <c r="C20" s="214"/>
      <c r="D20" s="214" t="s">
        <v>339</v>
      </c>
      <c r="E20" s="216" t="s">
        <v>362</v>
      </c>
      <c r="F20" s="212"/>
      <c r="G20" s="212"/>
      <c r="H20" s="212"/>
    </row>
    <row r="21" spans="1:8" ht="15" x14ac:dyDescent="0.25">
      <c r="A21" s="212"/>
      <c r="B21" s="214">
        <v>14</v>
      </c>
      <c r="C21" s="214"/>
      <c r="D21" s="214" t="s">
        <v>340</v>
      </c>
      <c r="E21" s="216" t="s">
        <v>363</v>
      </c>
      <c r="F21" s="212"/>
      <c r="G21" s="212"/>
      <c r="H21" s="212"/>
    </row>
    <row r="22" spans="1:8" ht="15" x14ac:dyDescent="0.25">
      <c r="A22" s="212"/>
      <c r="B22" s="214">
        <v>15</v>
      </c>
      <c r="C22" s="214"/>
      <c r="D22" s="214" t="s">
        <v>341</v>
      </c>
      <c r="E22" s="216" t="s">
        <v>364</v>
      </c>
      <c r="F22" s="212"/>
      <c r="G22" s="212"/>
      <c r="H22" s="212"/>
    </row>
    <row r="23" spans="1:8" ht="15" x14ac:dyDescent="0.25">
      <c r="A23" s="212"/>
      <c r="B23" s="214">
        <v>16</v>
      </c>
      <c r="C23" s="214"/>
      <c r="D23" s="214" t="s">
        <v>23</v>
      </c>
      <c r="E23" s="216" t="s">
        <v>365</v>
      </c>
      <c r="F23" s="212"/>
      <c r="G23" s="212"/>
      <c r="H23" s="212"/>
    </row>
    <row r="24" spans="1:8" ht="15" x14ac:dyDescent="0.25">
      <c r="A24" s="212"/>
      <c r="B24" s="214">
        <v>17</v>
      </c>
      <c r="C24" s="214"/>
      <c r="D24" s="214" t="s">
        <v>342</v>
      </c>
      <c r="E24" s="216" t="s">
        <v>366</v>
      </c>
      <c r="F24" s="212"/>
      <c r="G24" s="212"/>
      <c r="H24" s="212"/>
    </row>
    <row r="25" spans="1:8" ht="15" x14ac:dyDescent="0.25">
      <c r="A25" s="212"/>
      <c r="B25" s="214">
        <v>18</v>
      </c>
      <c r="C25" s="214"/>
      <c r="D25" s="214" t="s">
        <v>343</v>
      </c>
      <c r="E25" s="216" t="s">
        <v>367</v>
      </c>
      <c r="F25" s="212"/>
      <c r="G25" s="212"/>
      <c r="H25" s="212"/>
    </row>
    <row r="26" spans="1:8" ht="15" x14ac:dyDescent="0.25">
      <c r="A26" s="212"/>
      <c r="B26" s="214">
        <v>19</v>
      </c>
      <c r="C26" s="214"/>
      <c r="D26" s="214" t="s">
        <v>344</v>
      </c>
      <c r="E26" s="216" t="s">
        <v>368</v>
      </c>
      <c r="F26" s="212"/>
      <c r="G26" s="212"/>
      <c r="H26" s="212"/>
    </row>
    <row r="27" spans="1:8" ht="15" x14ac:dyDescent="0.25">
      <c r="A27" s="212"/>
      <c r="B27" s="214">
        <v>20</v>
      </c>
      <c r="C27" s="214"/>
      <c r="D27" s="214" t="s">
        <v>345</v>
      </c>
      <c r="E27" s="216" t="s">
        <v>369</v>
      </c>
      <c r="F27" s="212"/>
      <c r="G27" s="212"/>
      <c r="H27" s="212"/>
    </row>
    <row r="28" spans="1:8" ht="15" x14ac:dyDescent="0.25">
      <c r="A28" s="212"/>
      <c r="B28" s="214">
        <v>21</v>
      </c>
      <c r="C28" s="214"/>
      <c r="D28" s="214" t="s">
        <v>346</v>
      </c>
      <c r="E28" s="216" t="s">
        <v>370</v>
      </c>
      <c r="F28" s="212"/>
      <c r="G28" s="212"/>
      <c r="H28" s="212"/>
    </row>
    <row r="29" spans="1:8" ht="15" x14ac:dyDescent="0.25">
      <c r="A29" s="212"/>
      <c r="B29" s="214">
        <v>22</v>
      </c>
      <c r="C29" s="214"/>
      <c r="D29" s="214" t="s">
        <v>351</v>
      </c>
      <c r="E29" s="216" t="s">
        <v>371</v>
      </c>
      <c r="F29" s="212"/>
      <c r="G29" s="212"/>
      <c r="H29" s="212"/>
    </row>
    <row r="30" spans="1:8" ht="15" x14ac:dyDescent="0.25">
      <c r="A30" s="212"/>
      <c r="B30" s="214">
        <v>23</v>
      </c>
      <c r="C30" s="214"/>
      <c r="D30" s="214" t="s">
        <v>352</v>
      </c>
      <c r="E30" s="216" t="s">
        <v>372</v>
      </c>
      <c r="F30" s="212"/>
      <c r="G30" s="212"/>
      <c r="H30" s="212"/>
    </row>
    <row r="31" spans="1:8" ht="15" x14ac:dyDescent="0.25">
      <c r="A31" s="212"/>
      <c r="B31" s="214">
        <v>24</v>
      </c>
      <c r="C31" s="214"/>
      <c r="D31" s="214" t="s">
        <v>347</v>
      </c>
      <c r="E31" s="216" t="s">
        <v>373</v>
      </c>
      <c r="F31" s="212"/>
      <c r="G31" s="212"/>
      <c r="H31" s="212"/>
    </row>
    <row r="32" spans="1:8" ht="15" x14ac:dyDescent="0.25">
      <c r="A32" s="212"/>
      <c r="B32" s="214">
        <v>25</v>
      </c>
      <c r="C32" s="214"/>
      <c r="D32" s="214" t="s">
        <v>348</v>
      </c>
      <c r="E32" s="216" t="s">
        <v>374</v>
      </c>
      <c r="F32" s="212"/>
      <c r="G32" s="212"/>
      <c r="H32" s="212"/>
    </row>
    <row r="33" spans="1:8" ht="15" x14ac:dyDescent="0.25">
      <c r="A33" s="212"/>
      <c r="B33" s="214">
        <v>26</v>
      </c>
      <c r="C33" s="214"/>
      <c r="D33" s="214" t="s">
        <v>349</v>
      </c>
      <c r="E33" s="216" t="s">
        <v>375</v>
      </c>
      <c r="F33" s="212"/>
      <c r="G33" s="212"/>
      <c r="H33" s="212"/>
    </row>
    <row r="34" spans="1:8" ht="15" x14ac:dyDescent="0.25">
      <c r="A34" s="212"/>
      <c r="B34" s="214">
        <v>27</v>
      </c>
      <c r="C34" s="214"/>
      <c r="D34" s="214" t="s">
        <v>350</v>
      </c>
      <c r="E34" s="216" t="s">
        <v>376</v>
      </c>
      <c r="F34" s="212"/>
      <c r="G34" s="212"/>
      <c r="H34" s="212"/>
    </row>
    <row r="35" spans="1:8" ht="15" x14ac:dyDescent="0.25">
      <c r="A35" s="212"/>
      <c r="B35" s="212"/>
      <c r="C35" s="212"/>
      <c r="D35" s="212"/>
      <c r="E35" s="212"/>
      <c r="F35" s="212"/>
      <c r="G35" s="212"/>
      <c r="H35" s="212"/>
    </row>
    <row r="36" spans="1:8" ht="15" x14ac:dyDescent="0.25">
      <c r="A36" s="212"/>
      <c r="B36" s="212"/>
      <c r="C36" s="212"/>
      <c r="D36" s="212"/>
      <c r="E36" s="212"/>
      <c r="F36" s="212"/>
      <c r="G36" s="212"/>
      <c r="H36" s="212"/>
    </row>
    <row r="37" spans="1:8" ht="15" x14ac:dyDescent="0.25">
      <c r="A37" s="212"/>
      <c r="B37" s="212"/>
      <c r="C37" s="212"/>
      <c r="D37" s="212"/>
      <c r="E37" s="212"/>
      <c r="F37" s="212"/>
      <c r="G37" s="212"/>
      <c r="H37" s="212"/>
    </row>
    <row r="38" spans="1:8" ht="15" x14ac:dyDescent="0.25">
      <c r="A38" s="212"/>
      <c r="B38" s="212"/>
      <c r="C38" s="212"/>
      <c r="D38" s="212"/>
      <c r="E38" s="212"/>
      <c r="F38" s="212"/>
      <c r="G38" s="212"/>
      <c r="H38" s="212"/>
    </row>
  </sheetData>
  <hyperlinks>
    <hyperlink ref="E8" location="'Balance sheet'!A1" display="'Balance sheet'!A1"/>
    <hyperlink ref="E9" location="'Profit loss'!A1" display="'Profit loss'!A1"/>
    <hyperlink ref="E10" location="'CashFlow'!A1" display="'CashFlow'!A1"/>
    <hyperlink ref="E11" location="'3'!A1" display="'3'!A1"/>
    <hyperlink ref="E12" location="'4'!A1" display="'4'!A1"/>
    <hyperlink ref="E13" location="'5.1'!A1" display="'5.1'!A1"/>
    <hyperlink ref="E14" location="'5.2'!A1" display="'5.2'!A1"/>
    <hyperlink ref="E15" location="'6 &amp; 7'!A1" display="'6 &amp; 7'!A1"/>
    <hyperlink ref="E16" location="'8'!A1" display="'8'!A1"/>
    <hyperlink ref="E17" location="'9'!A1" display="'9'!A1"/>
    <hyperlink ref="E18" location="'10'!A1" display="'10'!A1"/>
    <hyperlink ref="E19" location="'11'!A1" display="'11'!A1"/>
    <hyperlink ref="E20" location="'12'!A1" display="'12'!A1"/>
    <hyperlink ref="E21" location="'13'!A1" display="'13'!A1"/>
    <hyperlink ref="E22" location="'14'!A1" display="'14'!A1"/>
    <hyperlink ref="E23" location="'15'!A1" display="'15'!A1"/>
    <hyperlink ref="E24" location="'16 &amp; 17'!A1" display="'16 &amp; 17'!A1"/>
    <hyperlink ref="E25" location="'18'!A1" display="'18'!A1"/>
    <hyperlink ref="E26" location="'19'!A1" display="'19'!A1"/>
    <hyperlink ref="E27" location="'20 &amp; 21'!A1" display="'20 &amp; 21'!A1"/>
    <hyperlink ref="E28" location="'22 &amp; 22.1'!A1" display="'22 &amp; 22.1'!A1"/>
    <hyperlink ref="E29" location="'23'!A1" display="'23'!A1"/>
    <hyperlink ref="E30" location="'24 &amp; 25'!A1" display="'24 &amp; 25'!A1"/>
    <hyperlink ref="E31" location="'26'!A1" display="'26'!A1"/>
    <hyperlink ref="E32" location="'27'!A1" display="'27'!A1"/>
    <hyperlink ref="E33" location="'27,28,29'!A1" display="'27,28,29'!A1"/>
    <hyperlink ref="E34" location="'30'!A1" display="'30'!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G56"/>
  <sheetViews>
    <sheetView showGridLines="0" view="pageBreakPreview" zoomScaleSheetLayoutView="100" workbookViewId="0">
      <selection activeCell="G10" sqref="G10"/>
    </sheetView>
  </sheetViews>
  <sheetFormatPr defaultColWidth="11.85546875" defaultRowHeight="15" x14ac:dyDescent="0.2"/>
  <cols>
    <col min="1" max="1" width="7.42578125" style="72" bestFit="1" customWidth="1"/>
    <col min="2" max="2" width="39.85546875" style="72" customWidth="1"/>
    <col min="3" max="3" width="14.7109375" style="72" customWidth="1"/>
    <col min="4" max="4" width="14.28515625" style="72" customWidth="1"/>
    <col min="5" max="5" width="16" style="108" customWidth="1"/>
    <col min="6" max="6" width="26.140625" style="109" customWidth="1"/>
    <col min="7" max="7" width="25.85546875" style="72" customWidth="1"/>
    <col min="8" max="8" width="18.42578125" style="72" bestFit="1" customWidth="1"/>
    <col min="9" max="10" width="0" style="72" hidden="1" customWidth="1"/>
    <col min="11" max="16384" width="11.85546875" style="72"/>
  </cols>
  <sheetData>
    <row r="2" spans="1:7" x14ac:dyDescent="0.2">
      <c r="B2" s="1875" t="s">
        <v>377</v>
      </c>
      <c r="C2" s="1875"/>
      <c r="D2" s="1875"/>
      <c r="E2" s="1875"/>
      <c r="F2" s="1875"/>
    </row>
    <row r="3" spans="1:7" x14ac:dyDescent="0.2">
      <c r="C3" s="1" t="s">
        <v>294</v>
      </c>
    </row>
    <row r="5" spans="1:7" x14ac:dyDescent="0.2">
      <c r="A5" s="1887" t="s">
        <v>131</v>
      </c>
      <c r="B5" s="1887"/>
      <c r="C5" s="1887"/>
      <c r="D5" s="1887"/>
      <c r="E5" s="1887"/>
      <c r="F5" s="1887"/>
    </row>
    <row r="6" spans="1:7" x14ac:dyDescent="0.2">
      <c r="A6" s="222"/>
      <c r="B6" s="222"/>
      <c r="C6" s="222"/>
      <c r="D6" s="222"/>
      <c r="E6" s="222"/>
      <c r="F6" s="222" t="s">
        <v>389</v>
      </c>
      <c r="G6" s="221" t="s">
        <v>3019</v>
      </c>
    </row>
    <row r="7" spans="1:7" ht="28.5" x14ac:dyDescent="0.2">
      <c r="A7" s="1874" t="s">
        <v>3</v>
      </c>
      <c r="B7" s="1874" t="s">
        <v>6</v>
      </c>
      <c r="C7" s="1874" t="s">
        <v>66</v>
      </c>
      <c r="D7" s="1874" t="s">
        <v>65</v>
      </c>
      <c r="E7" s="1874" t="s">
        <v>17</v>
      </c>
      <c r="F7" s="106" t="s">
        <v>149</v>
      </c>
      <c r="G7" s="106" t="s">
        <v>150</v>
      </c>
    </row>
    <row r="8" spans="1:7" x14ac:dyDescent="0.2">
      <c r="A8" s="1874"/>
      <c r="B8" s="1874"/>
      <c r="C8" s="1874"/>
      <c r="D8" s="1874"/>
      <c r="E8" s="1874"/>
      <c r="F8" s="6" t="s">
        <v>1</v>
      </c>
      <c r="G8" s="6" t="s">
        <v>1</v>
      </c>
    </row>
    <row r="9" spans="1:7" x14ac:dyDescent="0.2">
      <c r="A9" s="209">
        <v>1</v>
      </c>
      <c r="B9" s="114" t="s">
        <v>307</v>
      </c>
      <c r="C9" s="79"/>
      <c r="D9" s="79"/>
      <c r="E9" s="32"/>
      <c r="F9" s="37"/>
      <c r="G9" s="37"/>
    </row>
    <row r="10" spans="1:7" x14ac:dyDescent="0.2">
      <c r="A10" s="209"/>
      <c r="B10" s="1805" t="s">
        <v>2963</v>
      </c>
      <c r="C10" s="79"/>
      <c r="D10" s="79"/>
      <c r="E10" s="1806" t="s">
        <v>2964</v>
      </c>
      <c r="F10" s="1807">
        <v>2096.34</v>
      </c>
      <c r="G10" s="1807">
        <v>2603.2399999999998</v>
      </c>
    </row>
    <row r="11" spans="1:7" x14ac:dyDescent="0.2">
      <c r="A11" s="209"/>
      <c r="B11" s="1805" t="s">
        <v>2969</v>
      </c>
      <c r="C11" s="79"/>
      <c r="D11" s="79"/>
      <c r="E11" s="1806" t="s">
        <v>2970</v>
      </c>
      <c r="F11" s="1807">
        <v>735</v>
      </c>
      <c r="G11" s="37"/>
    </row>
    <row r="12" spans="1:7" x14ac:dyDescent="0.2">
      <c r="A12" s="209"/>
      <c r="B12" s="1805" t="s">
        <v>2972</v>
      </c>
      <c r="C12" s="79"/>
      <c r="D12" s="79"/>
      <c r="E12" s="1806" t="s">
        <v>2973</v>
      </c>
      <c r="F12" s="1807">
        <v>2957.09</v>
      </c>
      <c r="G12" s="1807">
        <v>2931.8</v>
      </c>
    </row>
    <row r="13" spans="1:7" x14ac:dyDescent="0.2">
      <c r="A13" s="209"/>
      <c r="B13" s="1805" t="s">
        <v>2975</v>
      </c>
      <c r="C13" s="79"/>
      <c r="D13" s="79"/>
      <c r="E13" s="1806" t="s">
        <v>2976</v>
      </c>
      <c r="F13" s="1807">
        <v>699.99914660000002</v>
      </c>
      <c r="G13" s="1807">
        <v>908.99978729999998</v>
      </c>
    </row>
    <row r="14" spans="1:7" x14ac:dyDescent="0.2">
      <c r="A14" s="209"/>
      <c r="B14" s="1805" t="s">
        <v>2978</v>
      </c>
      <c r="C14" s="79"/>
      <c r="D14" s="79"/>
      <c r="E14" s="1806" t="s">
        <v>2979</v>
      </c>
      <c r="F14" s="1807">
        <v>340.47692602699999</v>
      </c>
      <c r="G14" s="1807">
        <v>340.47577946300004</v>
      </c>
    </row>
    <row r="15" spans="1:7" x14ac:dyDescent="0.2">
      <c r="A15" s="209"/>
      <c r="B15" s="1805" t="s">
        <v>2467</v>
      </c>
      <c r="C15" s="79"/>
      <c r="D15" s="79"/>
      <c r="E15" s="1806" t="s">
        <v>2981</v>
      </c>
      <c r="F15" s="1807">
        <v>1040.9749773000001</v>
      </c>
      <c r="G15" s="1807">
        <v>1036.9997295000001</v>
      </c>
    </row>
    <row r="16" spans="1:7" x14ac:dyDescent="0.2">
      <c r="A16" s="209"/>
      <c r="B16" s="1805" t="s">
        <v>2983</v>
      </c>
      <c r="C16" s="79"/>
      <c r="D16" s="79"/>
      <c r="E16" s="1806" t="s">
        <v>2984</v>
      </c>
      <c r="F16" s="1807">
        <v>13.113797651</v>
      </c>
      <c r="G16" s="1807">
        <v>9.6951829510000014</v>
      </c>
    </row>
    <row r="17" spans="1:7" x14ac:dyDescent="0.2">
      <c r="A17" s="209"/>
      <c r="B17" s="1805" t="s">
        <v>2986</v>
      </c>
      <c r="C17" s="79"/>
      <c r="D17" s="79"/>
      <c r="E17" s="1806" t="s">
        <v>2987</v>
      </c>
      <c r="F17" s="1807">
        <v>1.060801968</v>
      </c>
      <c r="G17" s="1807">
        <v>0.264445608</v>
      </c>
    </row>
    <row r="18" spans="1:7" x14ac:dyDescent="0.2">
      <c r="A18" s="209"/>
      <c r="B18" s="1805" t="s">
        <v>2988</v>
      </c>
      <c r="C18" s="79"/>
      <c r="D18" s="79"/>
      <c r="E18" s="1806" t="s">
        <v>2989</v>
      </c>
      <c r="F18" s="1807">
        <v>-1.2201471E-2</v>
      </c>
      <c r="G18" s="1807">
        <v>-3.1658709999999998E-3</v>
      </c>
    </row>
    <row r="19" spans="1:7" x14ac:dyDescent="0.2">
      <c r="A19" s="209"/>
      <c r="B19" s="1805" t="s">
        <v>2990</v>
      </c>
      <c r="C19" s="79"/>
      <c r="D19" s="79"/>
      <c r="E19" s="1806" t="s">
        <v>2991</v>
      </c>
      <c r="F19" s="1807">
        <v>-0.48711518200000004</v>
      </c>
      <c r="G19" s="1807">
        <v>-3.6665582000000002E-2</v>
      </c>
    </row>
    <row r="20" spans="1:7" x14ac:dyDescent="0.2">
      <c r="A20" s="209"/>
      <c r="B20" s="1805" t="s">
        <v>2992</v>
      </c>
      <c r="C20" s="79"/>
      <c r="D20" s="79"/>
      <c r="E20" s="1806" t="s">
        <v>2993</v>
      </c>
      <c r="F20" s="1807">
        <v>-0.1379286529999999</v>
      </c>
      <c r="G20" s="1807">
        <v>-8.4433019999994308E-3</v>
      </c>
    </row>
    <row r="21" spans="1:7" x14ac:dyDescent="0.2">
      <c r="A21" s="209"/>
      <c r="B21" s="1805" t="s">
        <v>2995</v>
      </c>
      <c r="C21" s="79"/>
      <c r="D21" s="79"/>
      <c r="E21" s="1806" t="s">
        <v>2996</v>
      </c>
      <c r="F21" s="1807">
        <v>-9.4585209999999992E-3</v>
      </c>
      <c r="G21" s="1807">
        <v>583.95756135100009</v>
      </c>
    </row>
    <row r="22" spans="1:7" x14ac:dyDescent="0.2">
      <c r="A22" s="209"/>
      <c r="B22" s="1805" t="s">
        <v>2998</v>
      </c>
      <c r="C22" s="79"/>
      <c r="D22" s="79"/>
      <c r="E22" s="1806" t="s">
        <v>2999</v>
      </c>
      <c r="F22" s="1807">
        <v>22.658465373000002</v>
      </c>
      <c r="G22" s="1807">
        <v>14.943226171000003</v>
      </c>
    </row>
    <row r="23" spans="1:7" x14ac:dyDescent="0.2">
      <c r="A23" s="209"/>
      <c r="B23" s="1805" t="s">
        <v>3001</v>
      </c>
      <c r="C23" s="79"/>
      <c r="D23" s="79"/>
      <c r="E23" s="1806">
        <v>50017</v>
      </c>
      <c r="F23" s="1807">
        <f>500+600.0000001+650</f>
        <v>1750.0000000999999</v>
      </c>
      <c r="G23" s="1807">
        <f>500+333.33+650</f>
        <v>1483.33</v>
      </c>
    </row>
    <row r="24" spans="1:7" x14ac:dyDescent="0.2">
      <c r="A24" s="209"/>
      <c r="B24" s="1805" t="s">
        <v>2969</v>
      </c>
      <c r="C24" s="79"/>
      <c r="D24" s="79"/>
      <c r="E24" s="1806">
        <v>50002</v>
      </c>
      <c r="F24" s="1807">
        <v>412.49298629999998</v>
      </c>
      <c r="G24" s="1807">
        <v>687.49966649999999</v>
      </c>
    </row>
    <row r="25" spans="1:7" x14ac:dyDescent="0.2">
      <c r="A25" s="209"/>
      <c r="B25" s="1805" t="s">
        <v>3008</v>
      </c>
      <c r="C25" s="79"/>
      <c r="D25" s="79"/>
      <c r="E25" s="1806">
        <v>50008</v>
      </c>
      <c r="F25" s="1807">
        <v>3007.3649362000001</v>
      </c>
      <c r="G25" s="1807">
        <f>525.3710954+2000+1000</f>
        <v>3525.3710953999998</v>
      </c>
    </row>
    <row r="26" spans="1:7" x14ac:dyDescent="0.2">
      <c r="A26" s="209"/>
      <c r="B26" s="1805" t="s">
        <v>3011</v>
      </c>
      <c r="C26" s="79"/>
      <c r="D26" s="79"/>
      <c r="E26" s="1806">
        <v>50015</v>
      </c>
      <c r="F26" s="1807">
        <v>37.499997899999997</v>
      </c>
      <c r="G26" s="1807">
        <f>62.4999987+75</f>
        <v>137.49999869999999</v>
      </c>
    </row>
    <row r="27" spans="1:7" x14ac:dyDescent="0.2">
      <c r="A27" s="209"/>
      <c r="B27" s="114"/>
      <c r="C27" s="79"/>
      <c r="D27" s="79"/>
      <c r="E27" s="32"/>
      <c r="F27" s="37"/>
      <c r="G27" s="37"/>
    </row>
    <row r="28" spans="1:7" x14ac:dyDescent="0.2">
      <c r="A28" s="113"/>
      <c r="B28" s="114"/>
      <c r="C28" s="116"/>
      <c r="D28" s="116"/>
      <c r="E28" s="117"/>
      <c r="F28" s="115"/>
      <c r="G28" s="115"/>
    </row>
    <row r="29" spans="1:7" x14ac:dyDescent="0.2">
      <c r="A29" s="86"/>
      <c r="B29" s="100" t="s">
        <v>7</v>
      </c>
      <c r="C29" s="100"/>
      <c r="D29" s="100"/>
      <c r="E29" s="101"/>
      <c r="F29" s="1812">
        <f>SUM(F10:F28)</f>
        <v>13113.425331592001</v>
      </c>
      <c r="G29" s="1812">
        <f>SUM(G10:G28)</f>
        <v>14264.028198189</v>
      </c>
    </row>
    <row r="30" spans="1:7" x14ac:dyDescent="0.2">
      <c r="A30" s="82"/>
      <c r="B30" s="82" t="s">
        <v>308</v>
      </c>
      <c r="C30" s="82"/>
      <c r="D30" s="82"/>
      <c r="E30" s="101"/>
      <c r="F30" s="1854">
        <f>+'BalanceSheet and P&amp;L 23-24'!D305</f>
        <v>2930.4689049626008</v>
      </c>
      <c r="G30" s="1854">
        <f>+'BalanceSheet and P&amp;L 23-24'!E305</f>
        <v>3008.6983286605678</v>
      </c>
    </row>
    <row r="31" spans="1:7" x14ac:dyDescent="0.2">
      <c r="A31" s="82"/>
      <c r="B31" s="100" t="s">
        <v>3067</v>
      </c>
      <c r="C31" s="82"/>
      <c r="D31" s="82"/>
      <c r="E31" s="101"/>
      <c r="F31" s="1853">
        <f>+F29+F30</f>
        <v>16043.894236554603</v>
      </c>
      <c r="G31" s="1853">
        <f>+G29+G30</f>
        <v>17272.726526849568</v>
      </c>
    </row>
    <row r="32" spans="1:7" x14ac:dyDescent="0.2">
      <c r="F32" s="1814"/>
      <c r="G32" s="1814"/>
    </row>
    <row r="33" spans="1:7" x14ac:dyDescent="0.2">
      <c r="F33" s="1814"/>
      <c r="G33" s="1814"/>
    </row>
    <row r="34" spans="1:7" x14ac:dyDescent="0.2">
      <c r="A34" s="93" t="s">
        <v>379</v>
      </c>
      <c r="B34" s="3" t="s">
        <v>321</v>
      </c>
      <c r="F34" s="72"/>
    </row>
    <row r="35" spans="1:7" x14ac:dyDescent="0.2">
      <c r="A35" s="77"/>
    </row>
    <row r="36" spans="1:7" x14ac:dyDescent="0.2">
      <c r="A36" s="77"/>
      <c r="G36" s="77"/>
    </row>
    <row r="37" spans="1:7" x14ac:dyDescent="0.2">
      <c r="A37" s="77"/>
      <c r="G37" s="77"/>
    </row>
    <row r="38" spans="1:7" x14ac:dyDescent="0.2">
      <c r="A38" s="77"/>
      <c r="E38" s="110"/>
      <c r="F38" s="111"/>
    </row>
    <row r="39" spans="1:7" x14ac:dyDescent="0.2">
      <c r="A39" s="77"/>
      <c r="E39" s="112"/>
      <c r="F39" s="111"/>
    </row>
    <row r="40" spans="1:7" x14ac:dyDescent="0.2">
      <c r="A40" s="77"/>
      <c r="E40" s="110"/>
      <c r="F40" s="111"/>
    </row>
    <row r="42" spans="1:7" x14ac:dyDescent="0.2">
      <c r="B42" s="77"/>
      <c r="C42" s="77"/>
      <c r="D42" s="77"/>
    </row>
    <row r="46" spans="1:7" x14ac:dyDescent="0.2">
      <c r="A46" s="77"/>
    </row>
    <row r="47" spans="1:7" x14ac:dyDescent="0.2">
      <c r="A47" s="77"/>
      <c r="G47" s="77"/>
    </row>
    <row r="48" spans="1:7" x14ac:dyDescent="0.2">
      <c r="A48" s="77"/>
      <c r="G48" s="77"/>
    </row>
    <row r="49" spans="1:6" x14ac:dyDescent="0.2">
      <c r="A49" s="77"/>
      <c r="E49" s="112"/>
      <c r="F49" s="111"/>
    </row>
    <row r="50" spans="1:6" x14ac:dyDescent="0.2">
      <c r="A50" s="77"/>
      <c r="E50" s="112"/>
      <c r="F50" s="111"/>
    </row>
    <row r="51" spans="1:6" x14ac:dyDescent="0.2">
      <c r="A51" s="77"/>
      <c r="E51" s="112"/>
      <c r="F51" s="111"/>
    </row>
    <row r="52" spans="1:6" x14ac:dyDescent="0.2">
      <c r="A52" s="77"/>
      <c r="E52" s="110"/>
      <c r="F52" s="111"/>
    </row>
    <row r="53" spans="1:6" x14ac:dyDescent="0.2">
      <c r="E53" s="112"/>
      <c r="F53" s="111"/>
    </row>
    <row r="54" spans="1:6" x14ac:dyDescent="0.2">
      <c r="E54" s="110"/>
      <c r="F54" s="111"/>
    </row>
    <row r="55" spans="1:6" x14ac:dyDescent="0.2">
      <c r="E55" s="112"/>
      <c r="F55" s="111"/>
    </row>
    <row r="56" spans="1:6" x14ac:dyDescent="0.2">
      <c r="B56" s="77"/>
      <c r="C56" s="77"/>
      <c r="D56" s="77"/>
    </row>
  </sheetData>
  <mergeCells count="7">
    <mergeCell ref="B2:F2"/>
    <mergeCell ref="A5:F5"/>
    <mergeCell ref="A7:A8"/>
    <mergeCell ref="B7:B8"/>
    <mergeCell ref="E7:E8"/>
    <mergeCell ref="C7:C8"/>
    <mergeCell ref="D7:D8"/>
  </mergeCells>
  <printOptions horizontalCentered="1"/>
  <pageMargins left="0.78740157480314965" right="0.39370078740157483" top="0.78740157480314965" bottom="0.19685039370078741"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2:H63"/>
  <sheetViews>
    <sheetView showGridLines="0" view="pageBreakPreview" zoomScale="80" zoomScaleSheetLayoutView="80" workbookViewId="0">
      <selection activeCell="E43" sqref="E43"/>
    </sheetView>
  </sheetViews>
  <sheetFormatPr defaultColWidth="11.85546875" defaultRowHeight="15" x14ac:dyDescent="0.2"/>
  <cols>
    <col min="1" max="1" width="8" style="72" customWidth="1"/>
    <col min="2" max="2" width="51.5703125" style="72" customWidth="1"/>
    <col min="3" max="3" width="14.28515625" style="108" bestFit="1" customWidth="1"/>
    <col min="4" max="4" width="30.140625" style="109" customWidth="1"/>
    <col min="5" max="5" width="30.140625" style="72" customWidth="1"/>
    <col min="6" max="6" width="18.42578125" style="72" bestFit="1" customWidth="1"/>
    <col min="7" max="7" width="19.28515625" style="72" customWidth="1"/>
    <col min="8" max="8" width="14.7109375" style="72" bestFit="1" customWidth="1"/>
    <col min="9" max="9" width="13.85546875" style="72" bestFit="1" customWidth="1"/>
    <col min="10" max="10" width="12.42578125" style="72" bestFit="1" customWidth="1"/>
    <col min="11" max="16384" width="11.85546875" style="72"/>
  </cols>
  <sheetData>
    <row r="2" spans="1:8" x14ac:dyDescent="0.2">
      <c r="A2" s="1875" t="s">
        <v>377</v>
      </c>
      <c r="B2" s="1875"/>
      <c r="C2" s="1875"/>
      <c r="D2" s="1875"/>
      <c r="E2" s="1875"/>
    </row>
    <row r="3" spans="1:8" x14ac:dyDescent="0.2">
      <c r="C3" s="1" t="s">
        <v>294</v>
      </c>
    </row>
    <row r="5" spans="1:8" x14ac:dyDescent="0.2">
      <c r="A5" s="73"/>
      <c r="B5" s="71"/>
      <c r="C5" s="1886"/>
      <c r="D5" s="1886"/>
      <c r="E5" s="1886"/>
    </row>
    <row r="6" spans="1:8" x14ac:dyDescent="0.2">
      <c r="A6" s="1887" t="s">
        <v>157</v>
      </c>
      <c r="B6" s="1887"/>
      <c r="C6" s="1887"/>
      <c r="D6" s="1887"/>
      <c r="E6" s="1887"/>
    </row>
    <row r="7" spans="1:8" x14ac:dyDescent="0.2">
      <c r="A7" s="222"/>
      <c r="B7" s="222"/>
      <c r="C7" s="222"/>
      <c r="D7" s="222"/>
      <c r="E7" s="221"/>
    </row>
    <row r="8" spans="1:8" ht="28.5" x14ac:dyDescent="0.2">
      <c r="A8" s="1874" t="s">
        <v>3</v>
      </c>
      <c r="B8" s="1874" t="s">
        <v>6</v>
      </c>
      <c r="C8" s="1874" t="s">
        <v>26</v>
      </c>
      <c r="D8" s="106" t="s">
        <v>149</v>
      </c>
      <c r="E8" s="106" t="s">
        <v>150</v>
      </c>
    </row>
    <row r="9" spans="1:8" x14ac:dyDescent="0.2">
      <c r="A9" s="1874"/>
      <c r="B9" s="1874"/>
      <c r="C9" s="1874"/>
      <c r="D9" s="184" t="s">
        <v>1</v>
      </c>
      <c r="E9" s="184" t="s">
        <v>1</v>
      </c>
    </row>
    <row r="10" spans="1:8" x14ac:dyDescent="0.2">
      <c r="A10" s="86">
        <v>1</v>
      </c>
      <c r="B10" s="82" t="s">
        <v>308</v>
      </c>
      <c r="C10" s="118"/>
      <c r="D10" s="14">
        <v>0</v>
      </c>
      <c r="E10" s="42">
        <v>0</v>
      </c>
      <c r="F10" s="15"/>
      <c r="H10" s="119"/>
    </row>
    <row r="11" spans="1:8" x14ac:dyDescent="0.2">
      <c r="A11" s="86"/>
      <c r="B11" s="82"/>
      <c r="C11" s="118"/>
      <c r="D11" s="14"/>
      <c r="E11" s="42"/>
      <c r="F11" s="15"/>
      <c r="H11" s="119"/>
    </row>
    <row r="12" spans="1:8" x14ac:dyDescent="0.2">
      <c r="A12" s="86">
        <v>2</v>
      </c>
      <c r="B12" s="82" t="s">
        <v>309</v>
      </c>
      <c r="C12" s="118"/>
      <c r="D12" s="14"/>
      <c r="E12" s="42"/>
      <c r="F12" s="15"/>
      <c r="H12" s="119"/>
    </row>
    <row r="13" spans="1:8" x14ac:dyDescent="0.2">
      <c r="A13" s="86"/>
      <c r="B13" s="82"/>
      <c r="C13" s="118"/>
      <c r="D13" s="14"/>
      <c r="E13" s="42"/>
      <c r="F13" s="15"/>
      <c r="H13" s="119"/>
    </row>
    <row r="14" spans="1:8" x14ac:dyDescent="0.2">
      <c r="A14" s="86">
        <v>3</v>
      </c>
      <c r="B14" s="82" t="s">
        <v>310</v>
      </c>
      <c r="C14" s="118"/>
      <c r="D14" s="14"/>
      <c r="E14" s="42"/>
      <c r="F14" s="15"/>
      <c r="H14" s="119"/>
    </row>
    <row r="15" spans="1:8" x14ac:dyDescent="0.2">
      <c r="A15" s="86" t="s">
        <v>53</v>
      </c>
      <c r="B15" s="82" t="s">
        <v>212</v>
      </c>
      <c r="C15" s="118"/>
      <c r="D15" s="14">
        <f>+'BalanceSheet and P&amp;L 23-24'!D329</f>
        <v>82.373988901000004</v>
      </c>
      <c r="E15" s="42">
        <f>+'BalanceSheet and P&amp;L 23-24'!E329</f>
        <v>109.202121408</v>
      </c>
      <c r="F15" s="15"/>
      <c r="H15" s="119"/>
    </row>
    <row r="16" spans="1:8" x14ac:dyDescent="0.2">
      <c r="A16" s="86" t="s">
        <v>54</v>
      </c>
      <c r="B16" s="82" t="s">
        <v>213</v>
      </c>
      <c r="C16" s="118"/>
      <c r="D16" s="14"/>
      <c r="E16" s="42"/>
      <c r="F16" s="15"/>
      <c r="H16" s="119"/>
    </row>
    <row r="17" spans="1:8" x14ac:dyDescent="0.2">
      <c r="A17" s="86" t="s">
        <v>55</v>
      </c>
      <c r="B17" s="82" t="s">
        <v>214</v>
      </c>
      <c r="C17" s="118"/>
      <c r="D17" s="14">
        <f>+'BalanceSheet and P&amp;L 23-24'!D334</f>
        <v>379.78044301100005</v>
      </c>
      <c r="E17" s="42">
        <f>+'BalanceSheet and P&amp;L 23-24'!E334</f>
        <v>96.164346129999998</v>
      </c>
      <c r="F17" s="15"/>
      <c r="H17" s="119"/>
    </row>
    <row r="18" spans="1:8" x14ac:dyDescent="0.2">
      <c r="A18" s="86" t="s">
        <v>56</v>
      </c>
      <c r="B18" s="169" t="s">
        <v>215</v>
      </c>
      <c r="C18" s="118"/>
      <c r="D18" s="14"/>
      <c r="E18" s="42"/>
      <c r="F18" s="15"/>
      <c r="H18" s="119"/>
    </row>
    <row r="19" spans="1:8" x14ac:dyDescent="0.2">
      <c r="A19" s="86" t="s">
        <v>311</v>
      </c>
      <c r="B19" s="169" t="s">
        <v>216</v>
      </c>
      <c r="C19" s="118"/>
      <c r="D19" s="14">
        <f>+'BalanceSheet and P&amp;L 23-24'!D327</f>
        <v>126.15593710000002</v>
      </c>
      <c r="E19" s="42">
        <f>+'BalanceSheet and P&amp;L 23-24'!E327</f>
        <v>107.9310807</v>
      </c>
      <c r="F19" s="15"/>
      <c r="H19" s="120"/>
    </row>
    <row r="20" spans="1:8" x14ac:dyDescent="0.2">
      <c r="A20" s="86" t="s">
        <v>312</v>
      </c>
      <c r="B20" s="82" t="s">
        <v>217</v>
      </c>
      <c r="C20" s="121"/>
      <c r="D20" s="14"/>
      <c r="E20" s="42"/>
      <c r="F20" s="15"/>
      <c r="H20" s="120"/>
    </row>
    <row r="21" spans="1:8" x14ac:dyDescent="0.2">
      <c r="A21" s="86"/>
      <c r="B21" s="82" t="s">
        <v>673</v>
      </c>
      <c r="C21" s="101"/>
      <c r="D21" s="14">
        <f>+'BalanceSheet and P&amp;L 23-24'!D330</f>
        <v>878.55733773499992</v>
      </c>
      <c r="E21" s="42">
        <f>+'BalanceSheet and P&amp;L 23-24'!E330</f>
        <v>845.82049583800006</v>
      </c>
      <c r="F21" s="15"/>
    </row>
    <row r="22" spans="1:8" x14ac:dyDescent="0.2">
      <c r="A22" s="86"/>
      <c r="B22" s="82" t="s">
        <v>3018</v>
      </c>
      <c r="C22" s="101"/>
      <c r="D22" s="14">
        <f>+'BalanceSheet and P&amp;L 23-24'!D325</f>
        <v>1541.637363801</v>
      </c>
      <c r="E22" s="42">
        <v>2078.9247488449996</v>
      </c>
      <c r="F22" s="15"/>
      <c r="G22" s="122"/>
    </row>
    <row r="23" spans="1:8" x14ac:dyDescent="0.2">
      <c r="A23" s="86"/>
      <c r="B23" s="82" t="s">
        <v>675</v>
      </c>
      <c r="C23" s="101"/>
      <c r="D23" s="200">
        <f>+'BalanceSheet and P&amp;L 23-24'!D332</f>
        <v>473.56399540000001</v>
      </c>
      <c r="E23" s="1864">
        <f>+'BalanceSheet and P&amp;L 23-24'!E332</f>
        <v>487.7325586</v>
      </c>
    </row>
    <row r="24" spans="1:8" x14ac:dyDescent="0.2">
      <c r="A24" s="86"/>
      <c r="B24" s="82" t="s">
        <v>305</v>
      </c>
      <c r="C24" s="101"/>
      <c r="D24" s="200">
        <v>0</v>
      </c>
      <c r="E24" s="1864">
        <v>0</v>
      </c>
    </row>
    <row r="25" spans="1:8" x14ac:dyDescent="0.2">
      <c r="A25" s="86"/>
      <c r="B25" s="82"/>
      <c r="C25" s="101"/>
      <c r="D25" s="200"/>
      <c r="E25" s="1865"/>
    </row>
    <row r="26" spans="1:8" x14ac:dyDescent="0.2">
      <c r="A26" s="86"/>
      <c r="B26" s="82" t="s">
        <v>7</v>
      </c>
      <c r="C26" s="101"/>
      <c r="D26" s="1808">
        <f>SUM(D10:D23)</f>
        <v>3482.0690659479997</v>
      </c>
      <c r="E26" s="1866">
        <f>SUM(E10:E24)</f>
        <v>3725.7753515209997</v>
      </c>
    </row>
    <row r="27" spans="1:8" x14ac:dyDescent="0.2">
      <c r="A27" s="86"/>
      <c r="B27" s="82"/>
      <c r="C27" s="101"/>
      <c r="D27" s="1808"/>
      <c r="E27" s="1866"/>
    </row>
    <row r="28" spans="1:8" x14ac:dyDescent="0.2">
      <c r="A28" s="86"/>
      <c r="B28" s="82"/>
      <c r="C28" s="101"/>
      <c r="D28" s="1808"/>
      <c r="E28" s="1866"/>
    </row>
    <row r="29" spans="1:8" x14ac:dyDescent="0.2">
      <c r="A29" s="86"/>
      <c r="B29" s="82" t="s">
        <v>1198</v>
      </c>
      <c r="C29" s="101"/>
      <c r="D29" s="1809">
        <f>+'BalanceSheet and P&amp;L 23-24'!D326</f>
        <v>187.42987904099999</v>
      </c>
      <c r="E29" s="1864">
        <v>221.60511809500002</v>
      </c>
    </row>
    <row r="30" spans="1:8" x14ac:dyDescent="0.2">
      <c r="A30" s="86"/>
      <c r="B30" s="82" t="s">
        <v>1222</v>
      </c>
      <c r="C30" s="101"/>
      <c r="D30" s="1809">
        <f>+'BalanceSheet and P&amp;L 23-24'!D331</f>
        <v>319.35688073200004</v>
      </c>
      <c r="E30" s="1867">
        <v>0</v>
      </c>
    </row>
    <row r="31" spans="1:8" x14ac:dyDescent="0.2">
      <c r="A31" s="86"/>
      <c r="B31" s="82" t="s">
        <v>305</v>
      </c>
      <c r="C31" s="101"/>
      <c r="D31" s="1809">
        <f>+'BalanceSheet and P&amp;L 23-24'!D333</f>
        <v>344.66732127199998</v>
      </c>
      <c r="E31" s="1864">
        <v>226.56529973999997</v>
      </c>
    </row>
    <row r="32" spans="1:8" x14ac:dyDescent="0.2">
      <c r="A32" s="86"/>
      <c r="B32" s="82" t="s">
        <v>1253</v>
      </c>
      <c r="C32" s="101"/>
      <c r="D32" s="1809">
        <f>+'BalanceSheet and P&amp;L 23-24'!D338</f>
        <v>18</v>
      </c>
      <c r="E32" s="1867">
        <f>+'BalanceSheet and P&amp;L 23-24'!E338</f>
        <v>81.686899999999994</v>
      </c>
    </row>
    <row r="33" spans="1:5" x14ac:dyDescent="0.2">
      <c r="A33" s="86"/>
      <c r="B33" s="82" t="s">
        <v>679</v>
      </c>
      <c r="C33" s="101"/>
      <c r="D33" s="1809">
        <f>+'BalanceSheet and P&amp;L 23-24'!D341</f>
        <v>57.264259690000003</v>
      </c>
      <c r="E33" s="1867">
        <f>+'BalanceSheet and P&amp;L 23-24'!E341</f>
        <v>42.332451702</v>
      </c>
    </row>
    <row r="34" spans="1:5" x14ac:dyDescent="0.2">
      <c r="A34" s="86"/>
      <c r="B34" s="82" t="s">
        <v>680</v>
      </c>
      <c r="C34" s="101"/>
      <c r="D34" s="1809">
        <f>+'BalanceSheet and P&amp;L 23-24'!D342</f>
        <v>1.300031347</v>
      </c>
      <c r="E34" s="1867">
        <f>+'BalanceSheet and P&amp;L 23-24'!E342</f>
        <v>0.61250196800000001</v>
      </c>
    </row>
    <row r="35" spans="1:5" x14ac:dyDescent="0.2">
      <c r="A35" s="86"/>
      <c r="B35" s="82" t="s">
        <v>681</v>
      </c>
      <c r="C35" s="101"/>
      <c r="D35" s="1809">
        <f>+'BalanceSheet and P&amp;L 23-24'!D343</f>
        <v>0.16332019199999998</v>
      </c>
      <c r="E35" s="1867">
        <f>+'BalanceSheet and P&amp;L 23-24'!E343</f>
        <v>9.8194741000000002E-2</v>
      </c>
    </row>
    <row r="36" spans="1:5" x14ac:dyDescent="0.2">
      <c r="A36" s="86"/>
      <c r="B36" s="82" t="s">
        <v>682</v>
      </c>
      <c r="C36" s="101"/>
      <c r="D36" s="1809">
        <f>+'BalanceSheet and P&amp;L 23-24'!D344</f>
        <v>78.035198754999996</v>
      </c>
      <c r="E36" s="1867">
        <f>+'BalanceSheet and P&amp;L 23-24'!E344</f>
        <v>57.491849813999998</v>
      </c>
    </row>
    <row r="37" spans="1:5" x14ac:dyDescent="0.2">
      <c r="A37" s="86"/>
      <c r="B37" s="82" t="s">
        <v>683</v>
      </c>
      <c r="C37" s="101"/>
      <c r="D37" s="1809">
        <f>+'BalanceSheet and P&amp;L 23-24'!D345</f>
        <v>0.14219699999999999</v>
      </c>
      <c r="E37" s="1867">
        <f>+'BalanceSheet and P&amp;L 23-24'!E345</f>
        <v>0.13512250000000001</v>
      </c>
    </row>
    <row r="38" spans="1:5" x14ac:dyDescent="0.2">
      <c r="A38" s="86"/>
      <c r="B38" s="88" t="s">
        <v>1913</v>
      </c>
      <c r="C38" s="101"/>
      <c r="D38" s="1808">
        <f>SUM(D29:D37)</f>
        <v>1006.3590880290001</v>
      </c>
      <c r="E38" s="1866">
        <f>SUM(E29:E37)</f>
        <v>630.52743855999995</v>
      </c>
    </row>
    <row r="39" spans="1:5" x14ac:dyDescent="0.2">
      <c r="A39" s="86"/>
      <c r="B39" s="82" t="s">
        <v>86</v>
      </c>
      <c r="C39" s="101"/>
      <c r="D39" s="1809">
        <f>+'BalanceSheet and P&amp;L 23-24'!D322</f>
        <v>9749.5069075399988</v>
      </c>
      <c r="E39" s="1867">
        <f>+'BalanceSheet and P&amp;L 23-24'!E322</f>
        <v>8103.1883832429994</v>
      </c>
    </row>
    <row r="40" spans="1:5" x14ac:dyDescent="0.2">
      <c r="A40" s="86"/>
      <c r="B40" s="82" t="s">
        <v>7</v>
      </c>
      <c r="C40" s="101"/>
      <c r="D40" s="1808">
        <f>+D38+D39+D26</f>
        <v>14237.935061516997</v>
      </c>
      <c r="E40" s="1866">
        <f>+E38+E39+E26</f>
        <v>12459.491173324001</v>
      </c>
    </row>
    <row r="41" spans="1:5" x14ac:dyDescent="0.2">
      <c r="A41" s="86"/>
      <c r="B41" s="82"/>
      <c r="C41" s="101"/>
      <c r="D41" s="1808"/>
      <c r="E41" s="1866"/>
    </row>
    <row r="42" spans="1:5" x14ac:dyDescent="0.2">
      <c r="A42" s="86"/>
      <c r="B42" s="88" t="s">
        <v>664</v>
      </c>
      <c r="C42" s="101"/>
      <c r="D42" s="1808">
        <f>+'BalanceSheet and P&amp;L 23-24'!D51</f>
        <v>173.91196567135512</v>
      </c>
      <c r="E42" s="1866">
        <f>+'BalanceSheet and P&amp;L 23-24'!E51</f>
        <v>143.34015883641399</v>
      </c>
    </row>
    <row r="43" spans="1:5" x14ac:dyDescent="0.2">
      <c r="A43" s="86"/>
      <c r="B43" s="82"/>
      <c r="C43" s="101"/>
      <c r="D43" s="1808"/>
      <c r="E43" s="1866"/>
    </row>
    <row r="44" spans="1:5" x14ac:dyDescent="0.2">
      <c r="A44" s="86"/>
      <c r="B44" s="82"/>
      <c r="C44" s="101"/>
      <c r="D44" s="1808"/>
      <c r="E44" s="1808"/>
    </row>
    <row r="45" spans="1:5" x14ac:dyDescent="0.2">
      <c r="A45" s="86"/>
      <c r="B45" s="82"/>
      <c r="C45" s="101"/>
      <c r="D45" s="1808"/>
      <c r="E45" s="1808"/>
    </row>
    <row r="46" spans="1:5" x14ac:dyDescent="0.2">
      <c r="A46" s="86"/>
      <c r="B46" s="82"/>
      <c r="C46" s="99"/>
      <c r="D46" s="118"/>
      <c r="E46" s="82"/>
    </row>
    <row r="47" spans="1:5" x14ac:dyDescent="0.2">
      <c r="A47" s="77"/>
      <c r="C47" s="112"/>
      <c r="D47" s="111"/>
    </row>
    <row r="49" spans="1:5" x14ac:dyDescent="0.2">
      <c r="A49" s="221" t="s">
        <v>379</v>
      </c>
      <c r="B49" s="3" t="s">
        <v>321</v>
      </c>
    </row>
    <row r="53" spans="1:5" x14ac:dyDescent="0.2">
      <c r="A53" s="77"/>
    </row>
    <row r="54" spans="1:5" x14ac:dyDescent="0.2">
      <c r="A54" s="77"/>
      <c r="E54" s="77"/>
    </row>
    <row r="55" spans="1:5" x14ac:dyDescent="0.2">
      <c r="A55" s="77"/>
      <c r="E55" s="77"/>
    </row>
    <row r="56" spans="1:5" x14ac:dyDescent="0.2">
      <c r="A56" s="77"/>
      <c r="C56" s="112"/>
      <c r="D56" s="111"/>
    </row>
    <row r="57" spans="1:5" x14ac:dyDescent="0.2">
      <c r="A57" s="77"/>
      <c r="C57" s="112"/>
      <c r="D57" s="111"/>
    </row>
    <row r="58" spans="1:5" x14ac:dyDescent="0.2">
      <c r="A58" s="77"/>
      <c r="C58" s="112"/>
      <c r="D58" s="111"/>
    </row>
    <row r="59" spans="1:5" x14ac:dyDescent="0.2">
      <c r="A59" s="77"/>
      <c r="C59" s="110"/>
      <c r="D59" s="111"/>
    </row>
    <row r="60" spans="1:5" x14ac:dyDescent="0.2">
      <c r="C60" s="112"/>
      <c r="D60" s="111"/>
    </row>
    <row r="61" spans="1:5" x14ac:dyDescent="0.2">
      <c r="C61" s="110"/>
      <c r="D61" s="111"/>
    </row>
    <row r="62" spans="1:5" x14ac:dyDescent="0.2">
      <c r="C62" s="112"/>
      <c r="D62" s="111"/>
    </row>
    <row r="63" spans="1:5" x14ac:dyDescent="0.2">
      <c r="B63" s="77"/>
    </row>
  </sheetData>
  <mergeCells count="6">
    <mergeCell ref="A2:E2"/>
    <mergeCell ref="A8:A9"/>
    <mergeCell ref="B8:B9"/>
    <mergeCell ref="C8:C9"/>
    <mergeCell ref="A6:E6"/>
    <mergeCell ref="C5:E5"/>
  </mergeCells>
  <phoneticPr fontId="0" type="noConversion"/>
  <printOptions horizontalCentered="1"/>
  <pageMargins left="0.78740157480314965" right="0.39370078740157483" top="0.78740157480314965" bottom="0.19685039370078741"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E15"/>
  <sheetViews>
    <sheetView showGridLines="0" view="pageBreakPreview" zoomScale="90" zoomScaleSheetLayoutView="90" zoomScalePageLayoutView="80" workbookViewId="0">
      <selection activeCell="E11" sqref="E11"/>
    </sheetView>
  </sheetViews>
  <sheetFormatPr defaultColWidth="9.140625" defaultRowHeight="15" x14ac:dyDescent="0.2"/>
  <cols>
    <col min="1" max="1" width="7.42578125" style="77" bestFit="1" customWidth="1"/>
    <col min="2" max="2" width="27.7109375" style="72" customWidth="1"/>
    <col min="3" max="3" width="11" style="77" customWidth="1"/>
    <col min="4" max="4" width="30.5703125" style="72" customWidth="1"/>
    <col min="5" max="5" width="32.42578125" style="72" customWidth="1"/>
    <col min="6" max="7" width="15.140625" style="72" bestFit="1" customWidth="1"/>
    <col min="8" max="16384" width="9.140625" style="72"/>
  </cols>
  <sheetData>
    <row r="2" spans="1:5" x14ac:dyDescent="0.2">
      <c r="A2" s="1875" t="s">
        <v>377</v>
      </c>
      <c r="B2" s="1875"/>
      <c r="C2" s="1875"/>
      <c r="D2" s="1875"/>
      <c r="E2" s="1875"/>
    </row>
    <row r="3" spans="1:5" x14ac:dyDescent="0.2">
      <c r="B3" s="1875" t="s">
        <v>294</v>
      </c>
      <c r="C3" s="1875"/>
      <c r="D3" s="1875"/>
      <c r="E3" s="1875"/>
    </row>
    <row r="5" spans="1:5" x14ac:dyDescent="0.2">
      <c r="A5" s="1887" t="s">
        <v>132</v>
      </c>
      <c r="B5" s="1887"/>
      <c r="C5" s="1887"/>
      <c r="D5" s="1887"/>
    </row>
    <row r="6" spans="1:5" x14ac:dyDescent="0.2">
      <c r="A6" s="222"/>
      <c r="B6" s="222"/>
      <c r="C6" s="222"/>
      <c r="D6" s="222"/>
      <c r="E6" s="221"/>
    </row>
    <row r="7" spans="1:5" ht="28.5" x14ac:dyDescent="0.2">
      <c r="A7" s="1874" t="s">
        <v>3</v>
      </c>
      <c r="B7" s="1874" t="s">
        <v>6</v>
      </c>
      <c r="C7" s="1874" t="s">
        <v>26</v>
      </c>
      <c r="D7" s="106" t="s">
        <v>149</v>
      </c>
      <c r="E7" s="106" t="s">
        <v>150</v>
      </c>
    </row>
    <row r="8" spans="1:5" x14ac:dyDescent="0.2">
      <c r="A8" s="1874"/>
      <c r="B8" s="1874"/>
      <c r="C8" s="1874"/>
      <c r="D8" s="184" t="s">
        <v>1</v>
      </c>
      <c r="E8" s="184" t="s">
        <v>1</v>
      </c>
    </row>
    <row r="9" spans="1:5" x14ac:dyDescent="0.2">
      <c r="A9" s="86">
        <v>1</v>
      </c>
      <c r="B9" s="10" t="s">
        <v>218</v>
      </c>
      <c r="C9" s="80"/>
      <c r="D9" s="14"/>
      <c r="E9" s="14"/>
    </row>
    <row r="10" spans="1:5" x14ac:dyDescent="0.2">
      <c r="A10" s="86">
        <v>2</v>
      </c>
      <c r="B10" s="85" t="s">
        <v>210</v>
      </c>
      <c r="C10" s="80"/>
      <c r="D10" s="42">
        <f>+'BalanceSheet and P&amp;L 23-24'!D350</f>
        <v>117.16416536000008</v>
      </c>
      <c r="E10" s="42">
        <f>+'BalanceSheet and P&amp;L 23-24'!E350</f>
        <v>97.033344397000064</v>
      </c>
    </row>
    <row r="11" spans="1:5" ht="30" x14ac:dyDescent="0.2">
      <c r="A11" s="86">
        <v>3</v>
      </c>
      <c r="B11" s="85" t="s">
        <v>211</v>
      </c>
      <c r="C11" s="80"/>
      <c r="D11" s="42">
        <f>+'BalanceSheet and P&amp;L 23-24'!D351</f>
        <v>165.47962041200003</v>
      </c>
      <c r="E11" s="42">
        <f>+'BalanceSheet and P&amp;L 23-24'!E351</f>
        <v>142.04039931199998</v>
      </c>
    </row>
    <row r="12" spans="1:5" x14ac:dyDescent="0.2">
      <c r="A12" s="86">
        <v>4</v>
      </c>
      <c r="B12" s="169" t="s">
        <v>183</v>
      </c>
      <c r="C12" s="101"/>
      <c r="D12" s="1812"/>
      <c r="E12" s="1812"/>
    </row>
    <row r="13" spans="1:5" x14ac:dyDescent="0.2">
      <c r="A13" s="86"/>
      <c r="B13" s="88" t="s">
        <v>7</v>
      </c>
      <c r="C13" s="86"/>
      <c r="D13" s="1868">
        <f>SUM(D10:D12)</f>
        <v>282.64378577200011</v>
      </c>
      <c r="E13" s="1868">
        <f>SUM(E10:E12)</f>
        <v>239.07374370900004</v>
      </c>
    </row>
    <row r="15" spans="1:5" x14ac:dyDescent="0.2">
      <c r="A15" s="221" t="s">
        <v>379</v>
      </c>
      <c r="B15" s="3" t="s">
        <v>321</v>
      </c>
    </row>
  </sheetData>
  <mergeCells count="6">
    <mergeCell ref="A5:D5"/>
    <mergeCell ref="A7:A8"/>
    <mergeCell ref="B7:B8"/>
    <mergeCell ref="C7:C8"/>
    <mergeCell ref="A2:E2"/>
    <mergeCell ref="B3:E3"/>
  </mergeCell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N25"/>
  <sheetViews>
    <sheetView showGridLines="0" view="pageBreakPreview" zoomScale="90" zoomScaleSheetLayoutView="90" workbookViewId="0">
      <selection activeCell="J30" sqref="J30"/>
    </sheetView>
  </sheetViews>
  <sheetFormatPr defaultColWidth="9.140625" defaultRowHeight="15" x14ac:dyDescent="0.2"/>
  <cols>
    <col min="1" max="1" width="8" style="47" bestFit="1" customWidth="1"/>
    <col min="2" max="2" width="49.5703125" style="124" customWidth="1"/>
    <col min="3" max="3" width="15" style="47" bestFit="1" customWidth="1"/>
    <col min="4" max="4" width="13.85546875" style="124" customWidth="1"/>
    <col min="5" max="5" width="26.85546875" style="124" bestFit="1" customWidth="1"/>
    <col min="6" max="6" width="25.28515625" style="124" bestFit="1" customWidth="1"/>
    <col min="7" max="7" width="10.85546875" style="124" bestFit="1" customWidth="1"/>
    <col min="8" max="8" width="25" style="124" bestFit="1" customWidth="1"/>
    <col min="9" max="10" width="25.28515625" style="124" bestFit="1" customWidth="1"/>
    <col min="11" max="11" width="26.7109375" style="124" bestFit="1" customWidth="1"/>
    <col min="12" max="12" width="17.5703125" style="124" bestFit="1" customWidth="1"/>
    <col min="13" max="13" width="18.42578125" style="124" bestFit="1" customWidth="1"/>
    <col min="14" max="14" width="17.5703125" style="124" bestFit="1" customWidth="1"/>
    <col min="15" max="15" width="10.7109375" style="124" bestFit="1" customWidth="1"/>
    <col min="16" max="16384" width="9.140625" style="124"/>
  </cols>
  <sheetData>
    <row r="2" spans="1:12" x14ac:dyDescent="0.2">
      <c r="B2" s="1875" t="s">
        <v>377</v>
      </c>
      <c r="C2" s="1875"/>
      <c r="D2" s="1875"/>
      <c r="E2" s="1875"/>
      <c r="F2" s="1875"/>
      <c r="G2" s="1875"/>
      <c r="H2" s="1875"/>
      <c r="I2" s="1875"/>
      <c r="J2" s="1875"/>
      <c r="K2" s="1875"/>
    </row>
    <row r="3" spans="1:12" x14ac:dyDescent="0.2">
      <c r="F3" s="1" t="s">
        <v>294</v>
      </c>
    </row>
    <row r="5" spans="1:12" x14ac:dyDescent="0.2">
      <c r="A5" s="1891" t="s">
        <v>133</v>
      </c>
      <c r="B5" s="1891"/>
      <c r="C5" s="1891"/>
      <c r="D5" s="1891"/>
      <c r="E5" s="1891"/>
      <c r="F5" s="1891"/>
      <c r="G5" s="1891"/>
    </row>
    <row r="6" spans="1:12" x14ac:dyDescent="0.2">
      <c r="H6" s="50"/>
      <c r="I6" s="50"/>
      <c r="J6" s="50"/>
      <c r="K6" s="129" t="s">
        <v>169</v>
      </c>
    </row>
    <row r="7" spans="1:12" x14ac:dyDescent="0.2">
      <c r="A7" s="1892" t="s">
        <v>3</v>
      </c>
      <c r="B7" s="1892" t="s">
        <v>6</v>
      </c>
      <c r="C7" s="1892" t="s">
        <v>26</v>
      </c>
      <c r="D7" s="1890" t="s">
        <v>10</v>
      </c>
      <c r="E7" s="1890"/>
      <c r="F7" s="1890"/>
      <c r="G7" s="1890" t="s">
        <v>11</v>
      </c>
      <c r="H7" s="1890"/>
      <c r="I7" s="1890"/>
      <c r="J7" s="1890" t="s">
        <v>12</v>
      </c>
      <c r="K7" s="1890"/>
    </row>
    <row r="8" spans="1:12" ht="28.5" x14ac:dyDescent="0.2">
      <c r="A8" s="1892"/>
      <c r="B8" s="1892"/>
      <c r="C8" s="1892"/>
      <c r="D8" s="128" t="s">
        <v>152</v>
      </c>
      <c r="E8" s="189" t="s">
        <v>153</v>
      </c>
      <c r="F8" s="128" t="s">
        <v>149</v>
      </c>
      <c r="G8" s="128" t="s">
        <v>152</v>
      </c>
      <c r="H8" s="128" t="s">
        <v>154</v>
      </c>
      <c r="I8" s="128" t="s">
        <v>149</v>
      </c>
      <c r="J8" s="128" t="s">
        <v>149</v>
      </c>
      <c r="K8" s="128" t="s">
        <v>150</v>
      </c>
      <c r="L8" s="125"/>
    </row>
    <row r="9" spans="1:12" x14ac:dyDescent="0.2">
      <c r="A9" s="16">
        <v>1</v>
      </c>
      <c r="B9" s="126" t="s">
        <v>219</v>
      </c>
      <c r="C9" s="22"/>
      <c r="D9" s="42">
        <f>+'FA Final'!C10+'FA Final'!D10</f>
        <v>1784.8584503042389</v>
      </c>
      <c r="E9" s="42">
        <f>+F9-D9</f>
        <v>21.87787400000002</v>
      </c>
      <c r="F9" s="42">
        <f>+'FA Final'!C13+'FA Final'!D13</f>
        <v>1806.7363243042389</v>
      </c>
      <c r="G9" s="42">
        <f>+'FA Final'!C19+'FA Final'!D19</f>
        <v>35.912540784238935</v>
      </c>
      <c r="H9" s="42">
        <f>+I9-G9</f>
        <v>4.6611259800000013</v>
      </c>
      <c r="I9" s="42">
        <f>+'FA Final'!C22+'FA Final'!D22</f>
        <v>40.573666764238936</v>
      </c>
      <c r="J9" s="42">
        <f>+'FA Final'!C28+'FA Final'!D28</f>
        <v>1766.1626575399998</v>
      </c>
      <c r="K9" s="42">
        <v>1749.4316579200001</v>
      </c>
    </row>
    <row r="10" spans="1:12" x14ac:dyDescent="0.2">
      <c r="A10" s="16">
        <v>2</v>
      </c>
      <c r="B10" s="126" t="s">
        <v>220</v>
      </c>
      <c r="C10" s="22"/>
      <c r="D10" s="42">
        <f>+'FA Final'!E10+'FA Final'!F10</f>
        <v>2115.2021823961654</v>
      </c>
      <c r="E10" s="42">
        <f t="shared" ref="E10:E18" si="0">+F10-D10</f>
        <v>23.066569298000104</v>
      </c>
      <c r="F10" s="42">
        <f>+'FA Final'!E13+'FA Final'!F13</f>
        <v>2138.2687516941655</v>
      </c>
      <c r="G10" s="42">
        <f>+'FA Final'!E19+'FA Final'!F19</f>
        <v>704.03905453516597</v>
      </c>
      <c r="H10" s="42">
        <f t="shared" ref="H10:H18" si="1">+I10-G10</f>
        <v>69.681797601999847</v>
      </c>
      <c r="I10" s="42">
        <f>+'FA Final'!E22+'FA Final'!F22</f>
        <v>773.72085213716582</v>
      </c>
      <c r="J10" s="42">
        <f>+'FA Final'!E28+'FA Final'!F28</f>
        <v>1364.5478995569997</v>
      </c>
      <c r="K10" s="42">
        <v>1411.3018557609994</v>
      </c>
    </row>
    <row r="11" spans="1:12" x14ac:dyDescent="0.2">
      <c r="A11" s="16"/>
      <c r="B11" s="169" t="s">
        <v>2309</v>
      </c>
      <c r="C11" s="22"/>
      <c r="D11" s="42">
        <f>+'FA Final'!G10</f>
        <v>2640.206588779713</v>
      </c>
      <c r="E11" s="42">
        <f t="shared" si="0"/>
        <v>64.000937667000017</v>
      </c>
      <c r="F11" s="42">
        <f>+'FA Final'!G13</f>
        <v>2704.207526446713</v>
      </c>
      <c r="G11" s="42">
        <f>+'FA Final'!G19</f>
        <v>1045.0406372067118</v>
      </c>
      <c r="H11" s="42">
        <f t="shared" si="1"/>
        <v>134.39723559399999</v>
      </c>
      <c r="I11" s="42">
        <f>+'FA Final'!G22</f>
        <v>1179.4378728007118</v>
      </c>
      <c r="J11" s="42">
        <f>+'FA Final'!G28</f>
        <v>1524.7696536460012</v>
      </c>
      <c r="K11" s="42">
        <v>1595.5738799730007</v>
      </c>
    </row>
    <row r="12" spans="1:12" x14ac:dyDescent="0.2">
      <c r="A12" s="16">
        <v>3</v>
      </c>
      <c r="B12" s="126" t="s">
        <v>221</v>
      </c>
      <c r="C12" s="22"/>
      <c r="D12" s="42">
        <f>+'FA Final'!H10+'FA Final'!I10+0.08</f>
        <v>2450.230069866866</v>
      </c>
      <c r="E12" s="42">
        <f t="shared" si="0"/>
        <v>74.575980520000485</v>
      </c>
      <c r="F12" s="42">
        <f>+'FA Final'!H13+'FA Final'!I13</f>
        <v>2524.8060503868664</v>
      </c>
      <c r="G12" s="42">
        <f>+'FA Final'!H19+'FA Final'!I19</f>
        <v>663.22698185586592</v>
      </c>
      <c r="H12" s="42">
        <f t="shared" si="1"/>
        <v>91.089172420000068</v>
      </c>
      <c r="I12" s="42">
        <f>+'FA Final'!H22+'FA Final'!I22</f>
        <v>754.31615427586598</v>
      </c>
      <c r="J12" s="42">
        <f>+'FA Final'!H28+'FA Final'!I28</f>
        <v>1770.4898961110002</v>
      </c>
      <c r="K12" s="42">
        <v>1787.0229771110003</v>
      </c>
    </row>
    <row r="13" spans="1:12" x14ac:dyDescent="0.2">
      <c r="A13" s="16">
        <v>4</v>
      </c>
      <c r="B13" s="126" t="s">
        <v>222</v>
      </c>
      <c r="C13" s="22"/>
      <c r="D13" s="42">
        <f>+'FA Final'!J10+3.07</f>
        <v>38079.632334511298</v>
      </c>
      <c r="E13" s="42">
        <f t="shared" si="0"/>
        <v>439.07528065299994</v>
      </c>
      <c r="F13" s="42">
        <f>+'FA Final'!J13</f>
        <v>38518.707615164298</v>
      </c>
      <c r="G13" s="42">
        <f>+'FA Final'!J19</f>
        <v>14039.347253087311</v>
      </c>
      <c r="H13" s="42">
        <f t="shared" si="1"/>
        <v>2084.025935171001</v>
      </c>
      <c r="I13" s="42">
        <f>+'FA Final'!J22</f>
        <v>16123.373188258312</v>
      </c>
      <c r="J13" s="42">
        <f>+'FA Final'!J28</f>
        <v>22395.334426905985</v>
      </c>
      <c r="K13" s="42">
        <v>24044.923521401986</v>
      </c>
    </row>
    <row r="14" spans="1:12" x14ac:dyDescent="0.2">
      <c r="A14" s="16">
        <v>5</v>
      </c>
      <c r="B14" s="126" t="s">
        <v>223</v>
      </c>
      <c r="C14" s="22"/>
      <c r="D14" s="42">
        <f>+'FA Final'!K10</f>
        <v>547.7557655444798</v>
      </c>
      <c r="E14" s="42">
        <f t="shared" si="0"/>
        <v>2.9166302000000996</v>
      </c>
      <c r="F14" s="42">
        <f>+'FA Final'!K13</f>
        <v>550.6723957444799</v>
      </c>
      <c r="G14" s="42">
        <f>+'FA Final'!K19</f>
        <v>224.5702129024796</v>
      </c>
      <c r="H14" s="42">
        <f t="shared" si="1"/>
        <v>26.929872662000008</v>
      </c>
      <c r="I14" s="42">
        <f>+'FA Final'!K22</f>
        <v>251.5000855644796</v>
      </c>
      <c r="J14" s="42">
        <f>+'FA Final'!K28</f>
        <v>299.1723101800003</v>
      </c>
      <c r="K14" s="42">
        <v>323.18555264200006</v>
      </c>
    </row>
    <row r="15" spans="1:12" x14ac:dyDescent="0.2">
      <c r="A15" s="16">
        <v>6</v>
      </c>
      <c r="B15" s="126" t="s">
        <v>224</v>
      </c>
      <c r="C15" s="22"/>
      <c r="D15" s="42">
        <f>+'FA Final'!L10</f>
        <v>57.367133869308056</v>
      </c>
      <c r="E15" s="42">
        <f t="shared" si="0"/>
        <v>12.076509285000007</v>
      </c>
      <c r="F15" s="42">
        <f>+'FA Final'!L13</f>
        <v>69.443643154308063</v>
      </c>
      <c r="G15" s="42">
        <f>+'FA Final'!L19</f>
        <v>11.25634304230806</v>
      </c>
      <c r="H15" s="42">
        <f t="shared" si="1"/>
        <v>5.576226995999999</v>
      </c>
      <c r="I15" s="42">
        <f>+'FA Final'!L22</f>
        <v>16.832570038308059</v>
      </c>
      <c r="J15" s="42">
        <f>+'FA Final'!L28</f>
        <v>52.611073116</v>
      </c>
      <c r="K15" s="42">
        <v>46.11079082700001</v>
      </c>
    </row>
    <row r="16" spans="1:12" x14ac:dyDescent="0.2">
      <c r="A16" s="16">
        <v>7</v>
      </c>
      <c r="B16" s="126" t="s">
        <v>225</v>
      </c>
      <c r="C16" s="22"/>
      <c r="D16" s="42">
        <f>+'FA Final'!M10</f>
        <v>36.831131653049333</v>
      </c>
      <c r="E16" s="42">
        <f t="shared" si="0"/>
        <v>1.311015562999998</v>
      </c>
      <c r="F16" s="42">
        <f>+'FA Final'!M13</f>
        <v>38.142147216049331</v>
      </c>
      <c r="G16" s="42">
        <f>+'FA Final'!M19</f>
        <v>17.250583630049341</v>
      </c>
      <c r="H16" s="42">
        <f t="shared" si="1"/>
        <v>2.4432508800000008</v>
      </c>
      <c r="I16" s="42">
        <f>+'FA Final'!M22</f>
        <v>19.693834510049342</v>
      </c>
      <c r="J16" s="42">
        <f>+'FA Final'!M28</f>
        <v>18.448312705999989</v>
      </c>
      <c r="K16" s="42">
        <v>19.580548022999995</v>
      </c>
    </row>
    <row r="17" spans="1:14" x14ac:dyDescent="0.2">
      <c r="A17" s="16">
        <v>8</v>
      </c>
      <c r="B17" s="126" t="s">
        <v>226</v>
      </c>
      <c r="C17" s="22"/>
      <c r="D17" s="42">
        <f>+'FA Final'!N10</f>
        <v>74.243386491330057</v>
      </c>
      <c r="E17" s="42">
        <f t="shared" si="0"/>
        <v>8.2817053679999901</v>
      </c>
      <c r="F17" s="42">
        <f>+'FA Final'!N13</f>
        <v>82.525091859330047</v>
      </c>
      <c r="G17" s="42">
        <f>+'FA Final'!N19</f>
        <v>33.339650317330097</v>
      </c>
      <c r="H17" s="42">
        <f t="shared" si="1"/>
        <v>8.6780190990000037</v>
      </c>
      <c r="I17" s="42">
        <f>+'FA Final'!N22</f>
        <v>42.017669416330101</v>
      </c>
      <c r="J17" s="42">
        <f>+'FA Final'!N28</f>
        <v>40.507422442999946</v>
      </c>
      <c r="K17" s="42">
        <v>40.916037573999958</v>
      </c>
      <c r="L17" s="127"/>
      <c r="M17" s="127"/>
      <c r="N17" s="127"/>
    </row>
    <row r="18" spans="1:14" x14ac:dyDescent="0.2">
      <c r="A18" s="16">
        <v>9</v>
      </c>
      <c r="B18" s="169" t="s">
        <v>305</v>
      </c>
      <c r="C18" s="22"/>
      <c r="D18" s="42">
        <f>+'FA Final'!O10</f>
        <v>57.487613597000006</v>
      </c>
      <c r="E18" s="42">
        <f t="shared" si="0"/>
        <v>0</v>
      </c>
      <c r="F18" s="42">
        <f>+'FA Final'!O13</f>
        <v>57.487613597000006</v>
      </c>
      <c r="G18" s="42">
        <f>+'FA Final'!O19</f>
        <v>35.021404756999999</v>
      </c>
      <c r="H18" s="42">
        <f t="shared" si="1"/>
        <v>1.1229387059999993</v>
      </c>
      <c r="I18" s="42">
        <f>+'FA Final'!O22</f>
        <v>36.144343462999998</v>
      </c>
      <c r="J18" s="42">
        <f>+'FA Final'!O28</f>
        <v>21.343270134000008</v>
      </c>
      <c r="K18" s="42">
        <v>22.466208840000007</v>
      </c>
      <c r="L18" s="127"/>
    </row>
    <row r="19" spans="1:14" x14ac:dyDescent="0.2">
      <c r="A19" s="16">
        <v>10</v>
      </c>
      <c r="B19" s="88" t="s">
        <v>3020</v>
      </c>
      <c r="C19" s="16"/>
      <c r="D19" s="1812">
        <f>SUM(D9:D18)</f>
        <v>47843.814657013449</v>
      </c>
      <c r="E19" s="1812">
        <f t="shared" ref="E19:K19" si="2">SUM(E9:E18)</f>
        <v>647.18250255400062</v>
      </c>
      <c r="F19" s="1812">
        <f t="shared" si="2"/>
        <v>48490.997159567443</v>
      </c>
      <c r="G19" s="1812">
        <f t="shared" si="2"/>
        <v>16809.004662118463</v>
      </c>
      <c r="H19" s="1812">
        <f t="shared" si="2"/>
        <v>2428.6055751100007</v>
      </c>
      <c r="I19" s="1812">
        <f t="shared" si="2"/>
        <v>19237.610237228462</v>
      </c>
      <c r="J19" s="1812">
        <f t="shared" si="2"/>
        <v>29253.386922338988</v>
      </c>
      <c r="K19" s="1812">
        <f t="shared" si="2"/>
        <v>31040.513030072987</v>
      </c>
    </row>
    <row r="20" spans="1:14" x14ac:dyDescent="0.2">
      <c r="B20" s="88"/>
      <c r="D20" s="1815"/>
      <c r="E20" s="1815"/>
      <c r="F20" s="1815"/>
    </row>
    <row r="21" spans="1:14" x14ac:dyDescent="0.2">
      <c r="B21" s="88"/>
      <c r="D21" s="1815"/>
      <c r="E21" s="1815"/>
      <c r="F21" s="1815"/>
    </row>
    <row r="22" spans="1:14" x14ac:dyDescent="0.2">
      <c r="B22" s="82" t="s">
        <v>3021</v>
      </c>
      <c r="C22" s="16"/>
      <c r="D22" s="12">
        <f>+'Note 1A'!C8+'Note 1A'!D8</f>
        <v>4439.6468180000002</v>
      </c>
      <c r="E22" s="12">
        <f>+F22-D22</f>
        <v>126.49136240000007</v>
      </c>
      <c r="F22" s="12">
        <f>+'Note 1A'!C11+'Note 1A'!D11</f>
        <v>4566.1381804000002</v>
      </c>
      <c r="G22" s="12">
        <f>+'Note 1A'!C16+'Note 1A'!D16</f>
        <v>1020.4094346000001</v>
      </c>
      <c r="H22" s="12">
        <f>+I22-G22</f>
        <v>257.55285089999995</v>
      </c>
      <c r="I22" s="12">
        <f>+'Note 1A'!C19+'Note 1A'!D19</f>
        <v>1277.9622855</v>
      </c>
      <c r="J22" s="12">
        <f>+'Note 1A'!C23+'Note 1A'!D23</f>
        <v>3288.1758949</v>
      </c>
      <c r="K22" s="12">
        <f>+'Note 1A'!C22+'Note 1A'!D22</f>
        <v>3419.2373834</v>
      </c>
    </row>
    <row r="23" spans="1:14" x14ac:dyDescent="0.2">
      <c r="B23" s="82" t="s">
        <v>3022</v>
      </c>
      <c r="C23" s="16"/>
      <c r="D23" s="12">
        <f>+'Note 1A'!C31</f>
        <v>40.170396591000006</v>
      </c>
      <c r="E23" s="12">
        <f>+F23-D23</f>
        <v>5.9234551000002966E-2</v>
      </c>
      <c r="F23" s="12">
        <f>+'Note 1A'!C34</f>
        <v>40.229631142000009</v>
      </c>
      <c r="G23" s="12">
        <f>+'Note 1A'!C39</f>
        <v>35.87632652300001</v>
      </c>
      <c r="H23" s="12">
        <f>+I23-G23</f>
        <v>1.8803448580000008</v>
      </c>
      <c r="I23" s="12">
        <f>+'Note 1A'!C42</f>
        <v>37.756671381000011</v>
      </c>
      <c r="J23" s="12">
        <f>+'Note 1A'!C46</f>
        <v>2.4729597609999985</v>
      </c>
      <c r="K23" s="12">
        <f>+'Note 1A'!C45</f>
        <v>4.2940700679999964</v>
      </c>
    </row>
    <row r="24" spans="1:14" x14ac:dyDescent="0.2">
      <c r="B24" s="72"/>
    </row>
    <row r="25" spans="1:14" x14ac:dyDescent="0.2">
      <c r="A25" s="52" t="s">
        <v>379</v>
      </c>
      <c r="B25" s="3" t="s">
        <v>321</v>
      </c>
    </row>
  </sheetData>
  <mergeCells count="8">
    <mergeCell ref="B2:K2"/>
    <mergeCell ref="J7:K7"/>
    <mergeCell ref="A5:G5"/>
    <mergeCell ref="A7:A8"/>
    <mergeCell ref="B7:B8"/>
    <mergeCell ref="C7:C8"/>
    <mergeCell ref="D7:F7"/>
    <mergeCell ref="G7:I7"/>
  </mergeCells>
  <printOptions horizontalCentered="1"/>
  <pageMargins left="0.39370078740157483" right="0.39370078740157483" top="0.78740157480314965" bottom="0.3937007874015748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2:I30"/>
  <sheetViews>
    <sheetView showGridLines="0" view="pageBreakPreview" zoomScale="87" zoomScaleSheetLayoutView="87" workbookViewId="0">
      <selection activeCell="E29" sqref="E29"/>
    </sheetView>
  </sheetViews>
  <sheetFormatPr defaultColWidth="9.140625" defaultRowHeight="15" x14ac:dyDescent="0.2"/>
  <cols>
    <col min="1" max="1" width="5.7109375" style="27" customWidth="1"/>
    <col min="2" max="2" width="35.28515625" style="27" customWidth="1"/>
    <col min="3" max="3" width="11.5703125" style="27" customWidth="1"/>
    <col min="4" max="5" width="27.28515625" style="27" customWidth="1"/>
    <col min="6" max="6" width="17.5703125" style="27" bestFit="1" customWidth="1"/>
    <col min="7" max="7" width="21.140625" style="27" customWidth="1"/>
    <col min="8" max="8" width="16.42578125" style="27" bestFit="1" customWidth="1"/>
    <col min="9" max="9" width="33.7109375" style="27" bestFit="1" customWidth="1"/>
    <col min="10" max="16384" width="9.140625" style="27"/>
  </cols>
  <sheetData>
    <row r="2" spans="1:9" x14ac:dyDescent="0.2">
      <c r="A2" s="1875" t="s">
        <v>377</v>
      </c>
      <c r="B2" s="1875"/>
      <c r="C2" s="1875"/>
      <c r="D2" s="1875"/>
      <c r="E2" s="1875"/>
    </row>
    <row r="3" spans="1:9" x14ac:dyDescent="0.2">
      <c r="C3" s="1" t="s">
        <v>294</v>
      </c>
    </row>
    <row r="5" spans="1:9" x14ac:dyDescent="0.2">
      <c r="A5" s="1872" t="s">
        <v>134</v>
      </c>
      <c r="B5" s="1872"/>
      <c r="C5" s="1872"/>
      <c r="D5" s="1872"/>
      <c r="E5" s="26"/>
    </row>
    <row r="6" spans="1:9" x14ac:dyDescent="0.2">
      <c r="A6" s="220"/>
      <c r="B6" s="220"/>
      <c r="C6" s="220"/>
      <c r="D6" s="220"/>
      <c r="E6" s="26"/>
    </row>
    <row r="7" spans="1:9" ht="28.5" x14ac:dyDescent="0.2">
      <c r="A7" s="1874" t="s">
        <v>15</v>
      </c>
      <c r="B7" s="1874" t="s">
        <v>6</v>
      </c>
      <c r="C7" s="1874" t="s">
        <v>26</v>
      </c>
      <c r="D7" s="130" t="s">
        <v>149</v>
      </c>
      <c r="E7" s="130" t="s">
        <v>150</v>
      </c>
    </row>
    <row r="8" spans="1:9" x14ac:dyDescent="0.2">
      <c r="A8" s="1874"/>
      <c r="B8" s="1874"/>
      <c r="C8" s="1874"/>
      <c r="D8" s="53" t="s">
        <v>1</v>
      </c>
      <c r="E8" s="53" t="s">
        <v>1</v>
      </c>
    </row>
    <row r="9" spans="1:9" x14ac:dyDescent="0.2">
      <c r="A9" s="11">
        <v>1</v>
      </c>
      <c r="B9" s="10" t="s">
        <v>227</v>
      </c>
      <c r="C9" s="131"/>
      <c r="D9" s="14"/>
      <c r="E9" s="14"/>
      <c r="F9" s="15"/>
      <c r="I9" s="15"/>
    </row>
    <row r="10" spans="1:9" x14ac:dyDescent="0.2">
      <c r="A10" s="11"/>
      <c r="B10" s="82" t="s">
        <v>3023</v>
      </c>
      <c r="C10" s="131"/>
      <c r="D10" s="42">
        <f>+'cwip(2)'!C25+'cwip(2)'!D25</f>
        <v>-1.7763568394002505E-15</v>
      </c>
      <c r="E10" s="42">
        <f>+'cwip(2)'!C23+'cwip(2)'!D23</f>
        <v>-1.7763568394002505E-15</v>
      </c>
      <c r="F10" s="15"/>
      <c r="I10" s="15"/>
    </row>
    <row r="11" spans="1:9" x14ac:dyDescent="0.2">
      <c r="A11" s="11"/>
      <c r="B11" s="82" t="s">
        <v>3024</v>
      </c>
      <c r="C11" s="131"/>
      <c r="D11" s="42">
        <f>+'cwip(2)'!E25</f>
        <v>1833.9005847000008</v>
      </c>
      <c r="E11" s="42">
        <f>+'cwip(2)'!E23</f>
        <v>1570.1811340750007</v>
      </c>
      <c r="F11" s="15"/>
      <c r="I11" s="15"/>
    </row>
    <row r="12" spans="1:9" x14ac:dyDescent="0.2">
      <c r="A12" s="11"/>
      <c r="B12" s="82" t="s">
        <v>2334</v>
      </c>
      <c r="C12" s="131"/>
      <c r="D12" s="42">
        <f>+'cwip(2)'!F25</f>
        <v>38.533076436999991</v>
      </c>
      <c r="E12" s="42">
        <f>+'cwip(2)'!F23</f>
        <v>32.422510976999995</v>
      </c>
      <c r="F12" s="15"/>
      <c r="I12" s="15"/>
    </row>
    <row r="13" spans="1:9" x14ac:dyDescent="0.2">
      <c r="A13" s="11"/>
      <c r="B13" s="82" t="s">
        <v>2309</v>
      </c>
      <c r="C13" s="131"/>
      <c r="D13" s="42">
        <f>+'cwip(2)'!G25</f>
        <v>2.6645352591003757E-15</v>
      </c>
      <c r="E13" s="42">
        <f>+'cwip(2)'!G23</f>
        <v>2.6645352591003757E-15</v>
      </c>
      <c r="F13" s="15"/>
      <c r="I13" s="15"/>
    </row>
    <row r="14" spans="1:9" x14ac:dyDescent="0.2">
      <c r="A14" s="11"/>
      <c r="B14" s="82" t="s">
        <v>2273</v>
      </c>
      <c r="C14" s="131"/>
      <c r="D14" s="42">
        <f>+'cwip(2)'!H25</f>
        <v>1.9760687140000002</v>
      </c>
      <c r="E14" s="42">
        <f>+'cwip(2)'!H23</f>
        <v>1.9760687140000002</v>
      </c>
      <c r="F14" s="15"/>
      <c r="I14" s="15"/>
    </row>
    <row r="15" spans="1:9" x14ac:dyDescent="0.2">
      <c r="A15" s="11"/>
      <c r="B15" s="82" t="s">
        <v>2337</v>
      </c>
      <c r="C15" s="131"/>
      <c r="D15" s="42">
        <f>+'cwip(2)'!I25</f>
        <v>29.214126995999997</v>
      </c>
      <c r="E15" s="42">
        <f>+'cwip(2)'!I23</f>
        <v>22.057503802999996</v>
      </c>
      <c r="F15" s="15"/>
      <c r="I15" s="15"/>
    </row>
    <row r="16" spans="1:9" x14ac:dyDescent="0.2">
      <c r="A16" s="11"/>
      <c r="B16" s="82" t="s">
        <v>3025</v>
      </c>
      <c r="C16" s="131"/>
      <c r="D16" s="42">
        <f>+'cwip(2)'!J25</f>
        <v>5287.6368590949978</v>
      </c>
      <c r="E16" s="42">
        <v>4166.3625527829972</v>
      </c>
      <c r="F16" s="15"/>
      <c r="I16" s="15"/>
    </row>
    <row r="17" spans="1:9" x14ac:dyDescent="0.2">
      <c r="A17" s="11"/>
      <c r="B17" s="82" t="s">
        <v>224</v>
      </c>
      <c r="C17" s="131"/>
      <c r="D17" s="42">
        <v>0</v>
      </c>
      <c r="E17" s="42">
        <v>0</v>
      </c>
      <c r="F17" s="15"/>
      <c r="I17" s="15"/>
    </row>
    <row r="18" spans="1:9" x14ac:dyDescent="0.2">
      <c r="A18" s="11"/>
      <c r="B18" s="199" t="s">
        <v>266</v>
      </c>
      <c r="C18" s="131"/>
      <c r="D18" s="42">
        <f>+'cwip(2)'!M25</f>
        <v>2.0000003415855092E-9</v>
      </c>
      <c r="E18" s="42">
        <f>+'cwip(2)'!M23</f>
        <v>9.0000000341585503E-8</v>
      </c>
      <c r="F18" s="15"/>
      <c r="I18" s="15"/>
    </row>
    <row r="19" spans="1:9" x14ac:dyDescent="0.2">
      <c r="A19" s="11"/>
      <c r="B19" s="169" t="s">
        <v>2317</v>
      </c>
      <c r="C19" s="131"/>
      <c r="D19" s="42">
        <f>+'cwip(2)'!N25</f>
        <v>3.8388345180000036</v>
      </c>
      <c r="E19" s="42">
        <f>+'cwip(2)'!N23</f>
        <v>0.83898524800000385</v>
      </c>
      <c r="F19" s="15"/>
      <c r="I19" s="15"/>
    </row>
    <row r="20" spans="1:9" x14ac:dyDescent="0.2">
      <c r="A20" s="11"/>
      <c r="B20" s="10"/>
      <c r="C20" s="131"/>
      <c r="D20" s="14"/>
      <c r="E20" s="14"/>
      <c r="F20" s="15"/>
      <c r="I20" s="15"/>
    </row>
    <row r="21" spans="1:9" x14ac:dyDescent="0.2">
      <c r="A21" s="11">
        <v>2</v>
      </c>
      <c r="B21" s="10" t="s">
        <v>228</v>
      </c>
      <c r="C21" s="131"/>
      <c r="D21" s="98"/>
      <c r="E21" s="98"/>
      <c r="G21" s="132"/>
      <c r="H21" s="132"/>
      <c r="I21" s="133"/>
    </row>
    <row r="22" spans="1:9" x14ac:dyDescent="0.2">
      <c r="A22" s="11" t="s">
        <v>2</v>
      </c>
      <c r="B22" s="10" t="s">
        <v>183</v>
      </c>
      <c r="C22" s="131"/>
      <c r="D22" s="14"/>
      <c r="E22" s="14"/>
      <c r="H22" s="13"/>
    </row>
    <row r="23" spans="1:9" x14ac:dyDescent="0.2">
      <c r="A23" s="11" t="s">
        <v>0</v>
      </c>
      <c r="B23" s="10" t="s">
        <v>183</v>
      </c>
      <c r="C23" s="131"/>
      <c r="D23" s="14"/>
      <c r="E23" s="14"/>
      <c r="H23" s="13"/>
      <c r="I23" s="15"/>
    </row>
    <row r="24" spans="1:9" x14ac:dyDescent="0.2">
      <c r="A24" s="11"/>
      <c r="B24" s="10"/>
      <c r="C24" s="131"/>
      <c r="D24" s="14"/>
      <c r="E24" s="14"/>
      <c r="H24" s="13"/>
      <c r="I24" s="15"/>
    </row>
    <row r="25" spans="1:9" x14ac:dyDescent="0.2">
      <c r="A25" s="11"/>
      <c r="B25" s="10"/>
      <c r="C25" s="131"/>
      <c r="D25" s="14"/>
      <c r="E25" s="14"/>
      <c r="H25" s="13"/>
      <c r="I25" s="15"/>
    </row>
    <row r="26" spans="1:9" ht="45" x14ac:dyDescent="0.2">
      <c r="A26" s="57">
        <v>3</v>
      </c>
      <c r="B26" s="134" t="s">
        <v>229</v>
      </c>
      <c r="C26" s="135"/>
      <c r="D26" s="115"/>
      <c r="E26" s="115"/>
    </row>
    <row r="27" spans="1:9" x14ac:dyDescent="0.2">
      <c r="A27" s="11">
        <v>4</v>
      </c>
      <c r="B27" s="192" t="s">
        <v>7</v>
      </c>
      <c r="C27" s="11"/>
      <c r="D27" s="1812">
        <f>SUM(D10:D26)</f>
        <v>7195.0995504619987</v>
      </c>
      <c r="E27" s="1812">
        <f>SUM(E10:E26)</f>
        <v>5793.8387556899979</v>
      </c>
      <c r="G27" s="15"/>
      <c r="H27" s="122"/>
      <c r="I27" s="15"/>
    </row>
    <row r="28" spans="1:9" x14ac:dyDescent="0.2">
      <c r="A28" s="11">
        <v>5</v>
      </c>
      <c r="B28" s="82" t="s">
        <v>3026</v>
      </c>
      <c r="C28" s="10"/>
      <c r="D28" s="12">
        <f>+'cwip(2)'!P25</f>
        <v>642.07934182600002</v>
      </c>
      <c r="E28" s="12">
        <f>+'cwip(2)'!P23</f>
        <v>574.16186102100005</v>
      </c>
    </row>
    <row r="29" spans="1:9" x14ac:dyDescent="0.2">
      <c r="A29" s="26"/>
      <c r="B29" s="5"/>
      <c r="F29" s="28"/>
      <c r="G29" s="64"/>
      <c r="H29" s="64"/>
    </row>
    <row r="30" spans="1:9" x14ac:dyDescent="0.2">
      <c r="A30" s="26" t="s">
        <v>379</v>
      </c>
      <c r="B30" s="3" t="s">
        <v>321</v>
      </c>
    </row>
  </sheetData>
  <mergeCells count="5">
    <mergeCell ref="A2:E2"/>
    <mergeCell ref="B7:B8"/>
    <mergeCell ref="C7:C8"/>
    <mergeCell ref="A5:D5"/>
    <mergeCell ref="A7:A8"/>
  </mergeCells>
  <phoneticPr fontId="0" type="noConversion"/>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2:F48"/>
  <sheetViews>
    <sheetView showGridLines="0" view="pageBreakPreview" topLeftCell="A7" zoomScale="90" zoomScaleSheetLayoutView="90" workbookViewId="0">
      <selection activeCell="E21" sqref="E21"/>
    </sheetView>
  </sheetViews>
  <sheetFormatPr defaultColWidth="9.140625" defaultRowHeight="15" x14ac:dyDescent="0.2"/>
  <cols>
    <col min="1" max="1" width="6.5703125" style="138" customWidth="1"/>
    <col min="2" max="2" width="64.5703125" style="136" customWidth="1"/>
    <col min="3" max="3" width="15.28515625" style="139" bestFit="1" customWidth="1"/>
    <col min="4" max="4" width="25.7109375" style="136" customWidth="1"/>
    <col min="5" max="5" width="24.140625" style="136" customWidth="1"/>
    <col min="6" max="6" width="13.85546875" style="136" bestFit="1" customWidth="1"/>
    <col min="7" max="7" width="11.140625" style="136" bestFit="1" customWidth="1"/>
    <col min="8" max="16384" width="9.140625" style="136"/>
  </cols>
  <sheetData>
    <row r="2" spans="1:6" x14ac:dyDescent="0.2">
      <c r="A2" s="1875" t="s">
        <v>377</v>
      </c>
      <c r="B2" s="1875"/>
      <c r="C2" s="1875"/>
      <c r="D2" s="1875"/>
      <c r="E2" s="1875"/>
      <c r="F2" s="229"/>
    </row>
    <row r="3" spans="1:6" x14ac:dyDescent="0.2">
      <c r="B3" s="1875" t="s">
        <v>294</v>
      </c>
      <c r="C3" s="1875"/>
      <c r="D3" s="1875"/>
    </row>
    <row r="6" spans="1:6" x14ac:dyDescent="0.2">
      <c r="A6" s="1872" t="s">
        <v>137</v>
      </c>
      <c r="B6" s="1872"/>
      <c r="C6" s="1872"/>
      <c r="D6" s="1872"/>
      <c r="E6" s="26"/>
      <c r="F6" s="27"/>
    </row>
    <row r="7" spans="1:6" x14ac:dyDescent="0.2">
      <c r="A7" s="136"/>
      <c r="C7" s="136"/>
      <c r="F7" s="27"/>
    </row>
    <row r="8" spans="1:6" ht="42.75" x14ac:dyDescent="0.2">
      <c r="A8" s="1874" t="s">
        <v>15</v>
      </c>
      <c r="B8" s="1874" t="s">
        <v>6</v>
      </c>
      <c r="C8" s="1874" t="s">
        <v>26</v>
      </c>
      <c r="D8" s="227" t="s">
        <v>149</v>
      </c>
      <c r="E8" s="227" t="s">
        <v>150</v>
      </c>
      <c r="F8" s="27"/>
    </row>
    <row r="9" spans="1:6" x14ac:dyDescent="0.2">
      <c r="A9" s="1874"/>
      <c r="B9" s="1874"/>
      <c r="C9" s="1874"/>
      <c r="D9" s="219" t="s">
        <v>1</v>
      </c>
      <c r="E9" s="219" t="s">
        <v>1</v>
      </c>
      <c r="F9" s="27"/>
    </row>
    <row r="10" spans="1:6" x14ac:dyDescent="0.2">
      <c r="A10" s="86">
        <v>1</v>
      </c>
      <c r="B10" s="88" t="s">
        <v>303</v>
      </c>
      <c r="C10" s="140"/>
      <c r="D10" s="14"/>
      <c r="E10" s="14"/>
      <c r="F10" s="27"/>
    </row>
    <row r="11" spans="1:6" x14ac:dyDescent="0.2">
      <c r="A11" s="86"/>
      <c r="B11" s="82" t="s">
        <v>298</v>
      </c>
      <c r="C11" s="140"/>
      <c r="D11" s="42"/>
      <c r="E11" s="42"/>
      <c r="F11" s="27"/>
    </row>
    <row r="12" spans="1:6" x14ac:dyDescent="0.2">
      <c r="A12" s="86"/>
      <c r="B12" s="82" t="s">
        <v>299</v>
      </c>
      <c r="C12" s="140"/>
      <c r="D12" s="42">
        <f>+'BalanceSheet and P&amp;L 23-24'!D196</f>
        <v>0</v>
      </c>
      <c r="E12" s="42">
        <f>+'BalanceSheet and P&amp;L 23-24'!E196</f>
        <v>1.4262655</v>
      </c>
      <c r="F12" s="27"/>
    </row>
    <row r="13" spans="1:6" x14ac:dyDescent="0.2">
      <c r="A13" s="86"/>
      <c r="B13" s="82" t="s">
        <v>300</v>
      </c>
      <c r="C13" s="140"/>
      <c r="D13" s="42"/>
      <c r="E13" s="42"/>
      <c r="F13" s="27"/>
    </row>
    <row r="14" spans="1:6" x14ac:dyDescent="0.2">
      <c r="A14" s="86"/>
      <c r="B14" s="82"/>
      <c r="C14" s="140"/>
      <c r="D14" s="42"/>
      <c r="E14" s="42"/>
      <c r="F14" s="27"/>
    </row>
    <row r="15" spans="1:6" x14ac:dyDescent="0.2">
      <c r="A15" s="86">
        <v>2</v>
      </c>
      <c r="B15" s="88" t="s">
        <v>302</v>
      </c>
      <c r="C15" s="140"/>
      <c r="D15" s="42"/>
      <c r="E15" s="42"/>
      <c r="F15" s="27"/>
    </row>
    <row r="16" spans="1:6" x14ac:dyDescent="0.2">
      <c r="A16" s="86"/>
      <c r="B16" s="82" t="s">
        <v>298</v>
      </c>
      <c r="C16" s="140"/>
      <c r="D16" s="42"/>
      <c r="E16" s="42"/>
      <c r="F16" s="27"/>
    </row>
    <row r="17" spans="1:6" x14ac:dyDescent="0.2">
      <c r="A17" s="86"/>
      <c r="B17" s="82" t="s">
        <v>299</v>
      </c>
      <c r="C17" s="140"/>
      <c r="D17" s="42"/>
      <c r="E17" s="42"/>
      <c r="F17" s="27"/>
    </row>
    <row r="18" spans="1:6" x14ac:dyDescent="0.2">
      <c r="A18" s="86"/>
      <c r="B18" s="82" t="s">
        <v>300</v>
      </c>
      <c r="C18" s="140"/>
      <c r="D18" s="42"/>
      <c r="E18" s="42"/>
      <c r="F18" s="27"/>
    </row>
    <row r="19" spans="1:6" x14ac:dyDescent="0.2">
      <c r="A19" s="86"/>
      <c r="B19" s="82"/>
      <c r="C19" s="140"/>
      <c r="D19" s="42"/>
      <c r="E19" s="42"/>
      <c r="F19" s="27"/>
    </row>
    <row r="20" spans="1:6" x14ac:dyDescent="0.2">
      <c r="A20" s="86"/>
      <c r="B20" s="88" t="s">
        <v>3044</v>
      </c>
      <c r="C20" s="140"/>
      <c r="D20" s="42"/>
      <c r="E20" s="42"/>
      <c r="F20" s="27"/>
    </row>
    <row r="21" spans="1:6" x14ac:dyDescent="0.2">
      <c r="A21" s="86"/>
      <c r="B21" s="82" t="s">
        <v>571</v>
      </c>
      <c r="C21" s="140"/>
      <c r="D21" s="1812">
        <f>+'BalanceSheet and P&amp;L 23-24'!D179</f>
        <v>4340.3346837788831</v>
      </c>
      <c r="E21" s="1812">
        <v>0</v>
      </c>
      <c r="F21" s="27"/>
    </row>
    <row r="22" spans="1:6" x14ac:dyDescent="0.2">
      <c r="A22" s="86"/>
      <c r="B22" s="82"/>
      <c r="C22" s="140"/>
      <c r="D22" s="42"/>
      <c r="E22" s="42"/>
      <c r="F22" s="27"/>
    </row>
    <row r="23" spans="1:6" x14ac:dyDescent="0.2">
      <c r="A23" s="86"/>
      <c r="B23" s="82"/>
      <c r="C23" s="140"/>
      <c r="D23" s="42"/>
      <c r="E23" s="42"/>
      <c r="F23" s="27"/>
    </row>
    <row r="24" spans="1:6" x14ac:dyDescent="0.2">
      <c r="A24" s="86"/>
      <c r="B24" s="82"/>
      <c r="C24" s="140"/>
      <c r="D24" s="42"/>
      <c r="E24" s="42"/>
      <c r="F24" s="27"/>
    </row>
    <row r="25" spans="1:6" x14ac:dyDescent="0.2">
      <c r="A25" s="86"/>
      <c r="B25" s="82"/>
      <c r="C25" s="140"/>
      <c r="D25" s="42"/>
      <c r="E25" s="42"/>
      <c r="F25" s="27"/>
    </row>
    <row r="26" spans="1:6" x14ac:dyDescent="0.2">
      <c r="A26" s="86"/>
      <c r="B26" s="82" t="s">
        <v>578</v>
      </c>
      <c r="C26" s="140"/>
      <c r="D26" s="42">
        <f>+'BalanceSheet and P&amp;L 23-24'!D195</f>
        <v>0</v>
      </c>
      <c r="E26" s="42">
        <f>+'BalanceSheet and P&amp;L 23-24'!E195</f>
        <v>0</v>
      </c>
      <c r="F26" s="27"/>
    </row>
    <row r="27" spans="1:6" x14ac:dyDescent="0.2">
      <c r="A27" s="86"/>
      <c r="B27" s="82" t="s">
        <v>3027</v>
      </c>
      <c r="C27" s="140"/>
      <c r="D27" s="42">
        <f>+'BalanceSheet and P&amp;L 23-24'!D194</f>
        <v>335.36731889400039</v>
      </c>
      <c r="E27" s="42">
        <f>+'BalanceSheet and P&amp;L 23-24'!E194</f>
        <v>296.60033398299993</v>
      </c>
      <c r="F27" s="27"/>
    </row>
    <row r="28" spans="1:6" x14ac:dyDescent="0.2">
      <c r="A28" s="86"/>
      <c r="B28" s="169" t="s">
        <v>3028</v>
      </c>
      <c r="C28" s="140"/>
      <c r="D28" s="42">
        <f>+'BalanceSheet and P&amp;L 23-24'!D197</f>
        <v>413.56195018599999</v>
      </c>
      <c r="E28" s="42">
        <f>+'BalanceSheet and P&amp;L 23-24'!E197</f>
        <v>323.902233663</v>
      </c>
      <c r="F28" s="27"/>
    </row>
    <row r="29" spans="1:6" x14ac:dyDescent="0.2">
      <c r="A29" s="86"/>
      <c r="B29" s="169" t="s">
        <v>3029</v>
      </c>
      <c r="C29" s="140"/>
      <c r="D29" s="42">
        <f>+'BalanceSheet and P&amp;L 23-24'!D182</f>
        <v>281.01642487299995</v>
      </c>
      <c r="E29" s="42">
        <f>+'BalanceSheet and P&amp;L 23-24'!E182</f>
        <v>238.76932591899995</v>
      </c>
      <c r="F29" s="27"/>
    </row>
    <row r="30" spans="1:6" x14ac:dyDescent="0.2">
      <c r="A30" s="86"/>
      <c r="B30" s="169" t="s">
        <v>3030</v>
      </c>
      <c r="C30" s="140"/>
      <c r="D30" s="42">
        <f>+'BalanceSheet and P&amp;L 23-24'!D190</f>
        <v>76.211765499999998</v>
      </c>
      <c r="E30" s="42">
        <f>+'BalanceSheet and P&amp;L 23-24'!E190</f>
        <v>76.211765499999998</v>
      </c>
      <c r="F30" s="27"/>
    </row>
    <row r="31" spans="1:6" x14ac:dyDescent="0.2">
      <c r="A31" s="86"/>
      <c r="B31" s="559" t="s">
        <v>575</v>
      </c>
      <c r="C31" s="140"/>
      <c r="D31" s="42">
        <f>+'BalanceSheet and P&amp;L 23-24'!D186</f>
        <v>203.595050566</v>
      </c>
      <c r="E31" s="42">
        <f>+'BalanceSheet and P&amp;L 23-24'!E186</f>
        <v>203.595050566</v>
      </c>
      <c r="F31" s="27"/>
    </row>
    <row r="32" spans="1:6" x14ac:dyDescent="0.2">
      <c r="A32" s="86"/>
      <c r="B32" s="82"/>
      <c r="C32" s="140"/>
      <c r="D32" s="42"/>
      <c r="E32" s="42"/>
      <c r="F32" s="27"/>
    </row>
    <row r="33" spans="1:6" x14ac:dyDescent="0.2">
      <c r="A33" s="86"/>
      <c r="B33" s="82"/>
      <c r="C33" s="140"/>
      <c r="D33" s="42"/>
      <c r="E33" s="42"/>
      <c r="F33" s="27"/>
    </row>
    <row r="34" spans="1:6" x14ac:dyDescent="0.2">
      <c r="A34" s="86"/>
      <c r="B34" s="82"/>
      <c r="C34" s="140"/>
      <c r="D34" s="42"/>
      <c r="E34" s="42"/>
      <c r="F34" s="27"/>
    </row>
    <row r="35" spans="1:6" x14ac:dyDescent="0.2">
      <c r="A35" s="86"/>
      <c r="B35" s="82"/>
      <c r="C35" s="140"/>
      <c r="D35" s="42"/>
      <c r="E35" s="42"/>
      <c r="F35" s="27"/>
    </row>
    <row r="36" spans="1:6" x14ac:dyDescent="0.2">
      <c r="A36" s="86"/>
      <c r="B36" s="82"/>
      <c r="C36" s="140"/>
      <c r="D36" s="42"/>
      <c r="E36" s="42"/>
      <c r="F36" s="27"/>
    </row>
    <row r="37" spans="1:6" x14ac:dyDescent="0.2">
      <c r="A37" s="86"/>
      <c r="B37" s="82" t="s">
        <v>304</v>
      </c>
      <c r="C37" s="140"/>
      <c r="D37" s="42">
        <f>+'BalanceSheet and P&amp;L 23-24'!D183+'BalanceSheet and P&amp;L 23-24'!D187+'BalanceSheet and P&amp;L 23-24'!D191</f>
        <v>-560.8232409389999</v>
      </c>
      <c r="E37" s="42">
        <f>+'BalanceSheet and P&amp;L 23-24'!E183+'BalanceSheet and P&amp;L 23-24'!E187+'BalanceSheet and P&amp;L 23-24'!E191</f>
        <v>-518.57614198499994</v>
      </c>
      <c r="F37" s="27"/>
    </row>
    <row r="38" spans="1:6" x14ac:dyDescent="0.2">
      <c r="A38" s="86"/>
      <c r="B38" s="82"/>
      <c r="C38" s="140"/>
      <c r="D38" s="42"/>
      <c r="E38" s="42"/>
      <c r="F38" s="27"/>
    </row>
    <row r="39" spans="1:6" x14ac:dyDescent="0.2">
      <c r="A39" s="160"/>
      <c r="B39" s="158"/>
      <c r="C39" s="207"/>
      <c r="D39" s="1816"/>
      <c r="E39" s="1816"/>
    </row>
    <row r="40" spans="1:6" x14ac:dyDescent="0.2">
      <c r="A40" s="160"/>
      <c r="B40" s="201" t="s">
        <v>155</v>
      </c>
      <c r="C40" s="207"/>
      <c r="D40" s="1816"/>
      <c r="E40" s="1816"/>
    </row>
    <row r="41" spans="1:6" x14ac:dyDescent="0.2">
      <c r="A41" s="160"/>
      <c r="B41" s="201" t="s">
        <v>155</v>
      </c>
      <c r="C41" s="207"/>
      <c r="D41" s="1816"/>
      <c r="E41" s="1816"/>
    </row>
    <row r="42" spans="1:6" x14ac:dyDescent="0.2">
      <c r="A42" s="160"/>
      <c r="B42" s="201" t="s">
        <v>155</v>
      </c>
      <c r="C42" s="207"/>
      <c r="D42" s="1816"/>
      <c r="E42" s="1816"/>
    </row>
    <row r="43" spans="1:6" x14ac:dyDescent="0.2">
      <c r="A43" s="160"/>
      <c r="B43" s="201"/>
      <c r="C43" s="207"/>
      <c r="D43" s="1816"/>
      <c r="E43" s="1816"/>
    </row>
    <row r="44" spans="1:6" x14ac:dyDescent="0.2">
      <c r="A44" s="160"/>
      <c r="B44" s="161" t="s">
        <v>259</v>
      </c>
      <c r="C44" s="207"/>
      <c r="D44" s="41">
        <f>SUM(D26:D41)</f>
        <v>748.92926908000038</v>
      </c>
      <c r="E44" s="41">
        <f>SUM(E26:E41)+E12</f>
        <v>621.92883314599987</v>
      </c>
    </row>
    <row r="45" spans="1:6" x14ac:dyDescent="0.2">
      <c r="A45" s="160"/>
      <c r="B45" s="158"/>
      <c r="C45" s="207"/>
      <c r="D45" s="158"/>
      <c r="E45" s="158"/>
    </row>
    <row r="48" spans="1:6" x14ac:dyDescent="0.2">
      <c r="A48" s="230" t="s">
        <v>379</v>
      </c>
      <c r="B48" s="3" t="s">
        <v>321</v>
      </c>
    </row>
  </sheetData>
  <mergeCells count="6">
    <mergeCell ref="A2:E2"/>
    <mergeCell ref="B3:D3"/>
    <mergeCell ref="A6:D6"/>
    <mergeCell ref="A8:A9"/>
    <mergeCell ref="B8:B9"/>
    <mergeCell ref="C8:C9"/>
  </mergeCells>
  <phoneticPr fontId="0" type="noConversion"/>
  <printOptions horizontalCentered="1"/>
  <pageMargins left="0.78740157480314965" right="0.39370078740157483" top="0.78740157480314965" bottom="0.19685039370078741" header="0.31496062992125984" footer="0.31496062992125984"/>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F26"/>
  <sheetViews>
    <sheetView showGridLines="0" view="pageBreakPreview" zoomScale="80" zoomScaleNormal="115" zoomScaleSheetLayoutView="80" workbookViewId="0">
      <selection activeCell="D18" sqref="D18"/>
    </sheetView>
  </sheetViews>
  <sheetFormatPr defaultColWidth="9.140625" defaultRowHeight="15" x14ac:dyDescent="0.2"/>
  <cols>
    <col min="1" max="1" width="7.5703125" style="72" bestFit="1" customWidth="1"/>
    <col min="2" max="2" width="52.5703125" style="72" customWidth="1"/>
    <col min="3" max="3" width="19.42578125" style="72" bestFit="1" customWidth="1"/>
    <col min="4" max="4" width="23.5703125" style="72" customWidth="1"/>
    <col min="5" max="5" width="26.140625" style="72" customWidth="1"/>
    <col min="6" max="6" width="14.7109375" style="72" bestFit="1" customWidth="1"/>
    <col min="7" max="7" width="13.85546875" style="72" bestFit="1" customWidth="1"/>
    <col min="8" max="8" width="13.42578125" style="72" bestFit="1" customWidth="1"/>
    <col min="9" max="16384" width="9.140625" style="72"/>
  </cols>
  <sheetData>
    <row r="2" spans="1:6" x14ac:dyDescent="0.2">
      <c r="B2" s="1875" t="s">
        <v>377</v>
      </c>
      <c r="C2" s="1875"/>
      <c r="D2" s="1875"/>
      <c r="E2" s="1875"/>
      <c r="F2" s="1875"/>
    </row>
    <row r="3" spans="1:6" x14ac:dyDescent="0.2">
      <c r="C3" s="1" t="s">
        <v>294</v>
      </c>
    </row>
    <row r="6" spans="1:6" ht="20.25" customHeight="1" x14ac:dyDescent="0.2">
      <c r="A6" s="93" t="s">
        <v>138</v>
      </c>
      <c r="B6" s="93"/>
      <c r="C6" s="93"/>
      <c r="D6" s="93"/>
      <c r="E6" s="93"/>
    </row>
    <row r="7" spans="1:6" ht="20.25" customHeight="1" x14ac:dyDescent="0.2">
      <c r="A7" s="93"/>
      <c r="B7" s="93"/>
      <c r="C7" s="93"/>
      <c r="D7" s="93"/>
      <c r="E7" s="93"/>
    </row>
    <row r="8" spans="1:6" ht="42.75" customHeight="1" x14ac:dyDescent="0.2">
      <c r="A8" s="1885" t="s">
        <v>5</v>
      </c>
      <c r="B8" s="1885" t="s">
        <v>6</v>
      </c>
      <c r="C8" s="1874" t="s">
        <v>17</v>
      </c>
      <c r="D8" s="190" t="s">
        <v>149</v>
      </c>
      <c r="E8" s="190" t="s">
        <v>150</v>
      </c>
    </row>
    <row r="9" spans="1:6" x14ac:dyDescent="0.2">
      <c r="A9" s="1885"/>
      <c r="B9" s="1885"/>
      <c r="C9" s="1874"/>
      <c r="D9" s="185" t="s">
        <v>1</v>
      </c>
      <c r="E9" s="185" t="s">
        <v>1</v>
      </c>
    </row>
    <row r="10" spans="1:6" x14ac:dyDescent="0.2">
      <c r="A10" s="86">
        <v>1</v>
      </c>
      <c r="B10" s="85" t="s">
        <v>3031</v>
      </c>
      <c r="C10" s="152"/>
      <c r="D10" s="42">
        <f>+'BalanceSheet and P&amp;L 23-24'!D170+'BalanceSheet and P&amp;L 23-24'!D173</f>
        <v>156.605094904</v>
      </c>
      <c r="E10" s="42">
        <f>+'BalanceSheet and P&amp;L 23-24'!E170+'BalanceSheet and P&amp;L 23-24'!E173</f>
        <v>93.597134200000013</v>
      </c>
    </row>
    <row r="11" spans="1:6" ht="20.25" customHeight="1" x14ac:dyDescent="0.2">
      <c r="A11" s="86"/>
      <c r="B11" s="82"/>
      <c r="C11" s="147"/>
      <c r="D11" s="14"/>
      <c r="E11" s="14"/>
    </row>
    <row r="12" spans="1:6" ht="20.25" customHeight="1" x14ac:dyDescent="0.2">
      <c r="A12" s="86">
        <v>2</v>
      </c>
      <c r="B12" s="82" t="s">
        <v>230</v>
      </c>
      <c r="C12" s="86"/>
      <c r="D12" s="14"/>
      <c r="E12" s="14"/>
    </row>
    <row r="13" spans="1:6" ht="20.25" customHeight="1" x14ac:dyDescent="0.2">
      <c r="A13" s="86"/>
      <c r="B13" s="82" t="s">
        <v>183</v>
      </c>
      <c r="C13" s="86"/>
      <c r="D13" s="14"/>
      <c r="E13" s="14"/>
    </row>
    <row r="14" spans="1:6" ht="20.25" customHeight="1" x14ac:dyDescent="0.2">
      <c r="A14" s="86"/>
      <c r="B14" s="82" t="s">
        <v>183</v>
      </c>
      <c r="C14" s="86"/>
      <c r="D14" s="14"/>
      <c r="E14" s="14"/>
    </row>
    <row r="15" spans="1:6" ht="22.5" customHeight="1" x14ac:dyDescent="0.2">
      <c r="A15" s="86"/>
      <c r="B15" s="85" t="s">
        <v>231</v>
      </c>
      <c r="C15" s="153"/>
      <c r="D15" s="46"/>
      <c r="E15" s="14"/>
    </row>
    <row r="16" spans="1:6" ht="22.5" customHeight="1" x14ac:dyDescent="0.2">
      <c r="A16" s="86"/>
      <c r="B16" s="85"/>
      <c r="C16" s="153"/>
      <c r="D16" s="46"/>
      <c r="E16" s="14"/>
    </row>
    <row r="17" spans="1:5" ht="20.25" customHeight="1" x14ac:dyDescent="0.2">
      <c r="A17" s="86"/>
      <c r="B17" s="100"/>
      <c r="C17" s="78"/>
      <c r="D17" s="18"/>
      <c r="E17" s="18"/>
    </row>
    <row r="18" spans="1:5" ht="20.25" customHeight="1" x14ac:dyDescent="0.2">
      <c r="A18" s="86"/>
      <c r="B18" s="100" t="s">
        <v>232</v>
      </c>
      <c r="C18" s="147"/>
      <c r="D18" s="18"/>
      <c r="E18" s="18"/>
    </row>
    <row r="19" spans="1:5" hidden="1" x14ac:dyDescent="0.2">
      <c r="A19" s="123"/>
      <c r="B19" s="148"/>
      <c r="C19" s="142"/>
      <c r="D19" s="146"/>
      <c r="E19" s="149"/>
    </row>
    <row r="20" spans="1:5" ht="20.25" hidden="1" customHeight="1" x14ac:dyDescent="0.2">
      <c r="A20" s="150"/>
      <c r="B20" s="137"/>
      <c r="C20" s="143"/>
      <c r="D20" s="103"/>
      <c r="E20" s="104"/>
    </row>
    <row r="21" spans="1:5" ht="20.25" hidden="1" customHeight="1" x14ac:dyDescent="0.2">
      <c r="A21" s="150"/>
      <c r="B21" s="137"/>
      <c r="C21" s="143"/>
      <c r="D21" s="103"/>
      <c r="E21" s="104"/>
    </row>
    <row r="22" spans="1:5" ht="20.25" hidden="1" customHeight="1" x14ac:dyDescent="0.2">
      <c r="A22" s="123"/>
      <c r="B22" s="144"/>
      <c r="C22" s="145"/>
      <c r="D22" s="18"/>
      <c r="E22" s="151"/>
    </row>
    <row r="23" spans="1:5" ht="10.5" customHeight="1" x14ac:dyDescent="0.2"/>
    <row r="26" spans="1:5" x14ac:dyDescent="0.2">
      <c r="A26" s="221" t="s">
        <v>379</v>
      </c>
      <c r="B26" s="3" t="s">
        <v>321</v>
      </c>
    </row>
  </sheetData>
  <mergeCells count="4">
    <mergeCell ref="A8:A9"/>
    <mergeCell ref="B8:B9"/>
    <mergeCell ref="C8:C9"/>
    <mergeCell ref="B2:F2"/>
  </mergeCells>
  <dataValidations count="1">
    <dataValidation allowBlank="1" showInputMessage="1" showErrorMessage="1" promptTitle="Caution" prompt="Put Manual figure here calculated in Rough work._x000a_" sqref="D10:E10"/>
  </dataValidation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2:G29"/>
  <sheetViews>
    <sheetView showGridLines="0" view="pageBreakPreview" zoomScaleNormal="115" zoomScaleSheetLayoutView="100" workbookViewId="0">
      <selection activeCell="E17" sqref="E17"/>
    </sheetView>
  </sheetViews>
  <sheetFormatPr defaultColWidth="9.140625" defaultRowHeight="15" x14ac:dyDescent="0.2"/>
  <cols>
    <col min="1" max="1" width="7.5703125" style="72" bestFit="1" customWidth="1"/>
    <col min="2" max="2" width="34.28515625" style="72" customWidth="1"/>
    <col min="3" max="3" width="19.42578125" style="72" bestFit="1" customWidth="1"/>
    <col min="4" max="4" width="23.7109375" style="72" customWidth="1"/>
    <col min="5" max="5" width="24.85546875" style="72" customWidth="1"/>
    <col min="6" max="6" width="14.7109375" style="72" bestFit="1" customWidth="1"/>
    <col min="7" max="7" width="13.85546875" style="72" bestFit="1" customWidth="1"/>
    <col min="8" max="8" width="13.42578125" style="72" bestFit="1" customWidth="1"/>
    <col min="9" max="16384" width="9.140625" style="72"/>
  </cols>
  <sheetData>
    <row r="2" spans="1:7" x14ac:dyDescent="0.2">
      <c r="A2" s="1875" t="s">
        <v>377</v>
      </c>
      <c r="B2" s="1875"/>
      <c r="C2" s="1875"/>
      <c r="D2" s="1875"/>
      <c r="E2" s="1875"/>
    </row>
    <row r="3" spans="1:7" x14ac:dyDescent="0.2">
      <c r="C3" s="1" t="s">
        <v>294</v>
      </c>
    </row>
    <row r="5" spans="1:7" x14ac:dyDescent="0.2">
      <c r="A5" s="76" t="s">
        <v>139</v>
      </c>
      <c r="B5" s="76"/>
      <c r="C5" s="76"/>
      <c r="D5" s="76"/>
      <c r="E5" s="76"/>
      <c r="F5" s="154"/>
    </row>
    <row r="6" spans="1:7" x14ac:dyDescent="0.2">
      <c r="A6" s="76"/>
      <c r="B6" s="76"/>
      <c r="C6" s="76"/>
      <c r="D6" s="76"/>
      <c r="E6" s="76"/>
      <c r="F6" s="154"/>
    </row>
    <row r="7" spans="1:7" ht="42.75" x14ac:dyDescent="0.2">
      <c r="A7" s="1893" t="s">
        <v>5</v>
      </c>
      <c r="B7" s="1893" t="s">
        <v>6</v>
      </c>
      <c r="C7" s="1895" t="s">
        <v>17</v>
      </c>
      <c r="D7" s="190" t="s">
        <v>149</v>
      </c>
      <c r="E7" s="190" t="s">
        <v>150</v>
      </c>
      <c r="F7" s="154"/>
    </row>
    <row r="8" spans="1:7" x14ac:dyDescent="0.2">
      <c r="A8" s="1894"/>
      <c r="B8" s="1894"/>
      <c r="C8" s="1896"/>
      <c r="D8" s="185" t="s">
        <v>1</v>
      </c>
      <c r="E8" s="185" t="s">
        <v>1</v>
      </c>
      <c r="F8" s="154"/>
    </row>
    <row r="9" spans="1:7" x14ac:dyDescent="0.2">
      <c r="A9" s="155"/>
      <c r="B9" s="156" t="s">
        <v>233</v>
      </c>
      <c r="C9" s="157"/>
      <c r="D9" s="8"/>
      <c r="E9" s="155"/>
      <c r="F9" s="154"/>
    </row>
    <row r="10" spans="1:7" x14ac:dyDescent="0.2">
      <c r="A10" s="160">
        <v>1</v>
      </c>
      <c r="B10" s="169" t="s">
        <v>3032</v>
      </c>
      <c r="C10" s="153"/>
      <c r="D10" s="1817">
        <f>+'BalanceSheet and P&amp;L 23-24'!D202</f>
        <v>1384.35228531851</v>
      </c>
      <c r="E10" s="1817">
        <f>+'BalanceSheet and P&amp;L 23-24'!E202</f>
        <v>947.15810031799992</v>
      </c>
      <c r="F10" s="154"/>
    </row>
    <row r="11" spans="1:7" x14ac:dyDescent="0.2">
      <c r="A11" s="160">
        <v>2</v>
      </c>
      <c r="B11" s="553" t="s">
        <v>584</v>
      </c>
      <c r="C11" s="153"/>
      <c r="D11" s="1817">
        <f>+'BalanceSheet and P&amp;L 23-24'!D203</f>
        <v>649.67949519548995</v>
      </c>
      <c r="E11" s="1817">
        <f>+'BalanceSheet and P&amp;L 23-24'!E203</f>
        <v>246.52796384200002</v>
      </c>
      <c r="F11" s="154"/>
    </row>
    <row r="12" spans="1:7" x14ac:dyDescent="0.2">
      <c r="A12" s="160">
        <v>3</v>
      </c>
      <c r="B12" s="169" t="s">
        <v>3033</v>
      </c>
      <c r="C12" s="162"/>
      <c r="D12" s="1817">
        <f>+'BalanceSheet and P&amp;L 23-24'!D204</f>
        <v>317.02863434799997</v>
      </c>
      <c r="E12" s="1817">
        <f>+'BalanceSheet and P&amp;L 23-24'!E204</f>
        <v>318.00257912000001</v>
      </c>
      <c r="F12" s="154"/>
    </row>
    <row r="13" spans="1:7" x14ac:dyDescent="0.2">
      <c r="A13" s="160">
        <v>3</v>
      </c>
      <c r="B13" s="82" t="s">
        <v>3034</v>
      </c>
      <c r="C13" s="163"/>
      <c r="D13" s="1817">
        <f>+'BalanceSheet and P&amp;L 23-24'!D205</f>
        <v>113.080399077</v>
      </c>
      <c r="E13" s="1817">
        <f>+'BalanceSheet and P&amp;L 23-24'!E205</f>
        <v>64.560518199000001</v>
      </c>
      <c r="F13" s="154"/>
    </row>
    <row r="14" spans="1:7" x14ac:dyDescent="0.2">
      <c r="A14" s="160"/>
      <c r="B14" s="169" t="s">
        <v>233</v>
      </c>
      <c r="C14" s="163"/>
      <c r="D14" s="1817">
        <f>+'BalanceSheet and P&amp;L 23-24'!D206</f>
        <v>973.10106887300003</v>
      </c>
      <c r="E14" s="1817">
        <f>+'BalanceSheet and P&amp;L 23-24'!E206</f>
        <v>963.87835612999993</v>
      </c>
      <c r="F14" s="154"/>
    </row>
    <row r="15" spans="1:7" x14ac:dyDescent="0.2">
      <c r="A15" s="155"/>
      <c r="B15" s="169"/>
      <c r="C15" s="159"/>
      <c r="D15" s="18"/>
      <c r="E15" s="18"/>
      <c r="F15" s="164"/>
      <c r="G15" s="64"/>
    </row>
    <row r="16" spans="1:7" x14ac:dyDescent="0.2">
      <c r="A16" s="202"/>
      <c r="B16" s="161" t="s">
        <v>7</v>
      </c>
      <c r="C16" s="203"/>
      <c r="D16" s="203"/>
      <c r="E16" s="203"/>
      <c r="F16" s="154"/>
    </row>
    <row r="17" spans="1:6" x14ac:dyDescent="0.2">
      <c r="A17" s="202">
        <v>4</v>
      </c>
      <c r="B17" s="204" t="s">
        <v>234</v>
      </c>
      <c r="C17" s="204"/>
      <c r="D17" s="204"/>
      <c r="E17" s="204"/>
      <c r="F17" s="154"/>
    </row>
    <row r="18" spans="1:6" x14ac:dyDescent="0.2">
      <c r="A18" s="202"/>
      <c r="B18" s="82" t="s">
        <v>873</v>
      </c>
      <c r="C18" s="204"/>
      <c r="D18" s="204">
        <f>+'BalanceSheet and P&amp;L 23-24'!D208</f>
        <v>-410.59314440600002</v>
      </c>
      <c r="E18" s="204">
        <f>+'BalanceSheet and P&amp;L 23-24'!E208</f>
        <v>-385.94918471199998</v>
      </c>
      <c r="F18" s="154"/>
    </row>
    <row r="19" spans="1:6" x14ac:dyDescent="0.2">
      <c r="A19" s="202"/>
      <c r="B19" s="82" t="s">
        <v>3035</v>
      </c>
      <c r="C19" s="204"/>
      <c r="D19" s="204">
        <f>+'BalanceSheet and P&amp;L 23-24'!D209</f>
        <v>-83.069232370999998</v>
      </c>
      <c r="E19" s="204">
        <f>+'BalanceSheet and P&amp;L 23-24'!E209</f>
        <v>-39.395743226999997</v>
      </c>
      <c r="F19" s="154"/>
    </row>
    <row r="20" spans="1:6" x14ac:dyDescent="0.2">
      <c r="A20" s="202"/>
      <c r="B20" s="82"/>
      <c r="C20" s="204"/>
      <c r="D20" s="204"/>
      <c r="E20" s="204"/>
      <c r="F20" s="154"/>
    </row>
    <row r="21" spans="1:6" x14ac:dyDescent="0.2">
      <c r="A21" s="90" t="s">
        <v>53</v>
      </c>
      <c r="B21" s="82" t="s">
        <v>235</v>
      </c>
      <c r="C21" s="82"/>
      <c r="D21" s="82"/>
      <c r="E21" s="82"/>
    </row>
    <row r="22" spans="1:6" x14ac:dyDescent="0.2">
      <c r="A22" s="90" t="s">
        <v>54</v>
      </c>
      <c r="B22" s="82" t="s">
        <v>236</v>
      </c>
      <c r="C22" s="82"/>
      <c r="D22" s="82"/>
      <c r="E22" s="82"/>
    </row>
    <row r="23" spans="1:6" x14ac:dyDescent="0.2">
      <c r="A23" s="90" t="s">
        <v>55</v>
      </c>
      <c r="B23" s="82" t="s">
        <v>237</v>
      </c>
      <c r="C23" s="82"/>
      <c r="D23" s="82"/>
      <c r="E23" s="82"/>
    </row>
    <row r="24" spans="1:6" x14ac:dyDescent="0.2">
      <c r="A24" s="82"/>
      <c r="B24" s="82" t="s">
        <v>183</v>
      </c>
      <c r="C24" s="82"/>
      <c r="D24" s="82"/>
      <c r="E24" s="82"/>
    </row>
    <row r="25" spans="1:6" x14ac:dyDescent="0.2">
      <c r="A25" s="82"/>
      <c r="B25" s="82" t="s">
        <v>183</v>
      </c>
      <c r="C25" s="82"/>
      <c r="D25" s="82"/>
      <c r="E25" s="82"/>
    </row>
    <row r="26" spans="1:6" x14ac:dyDescent="0.2">
      <c r="A26" s="82"/>
      <c r="B26" s="100" t="s">
        <v>238</v>
      </c>
      <c r="C26" s="82"/>
      <c r="D26" s="82"/>
      <c r="E26" s="82"/>
    </row>
    <row r="27" spans="1:6" x14ac:dyDescent="0.2">
      <c r="A27" s="82"/>
      <c r="B27" s="100" t="s">
        <v>239</v>
      </c>
      <c r="C27" s="82"/>
      <c r="D27" s="1819">
        <f>SUM(D10:D24)</f>
        <v>2943.5795060349997</v>
      </c>
      <c r="E27" s="1819">
        <f>SUM(E10:E24)</f>
        <v>2114.7825896700001</v>
      </c>
    </row>
    <row r="29" spans="1:6" x14ac:dyDescent="0.2">
      <c r="A29" s="221" t="s">
        <v>379</v>
      </c>
      <c r="B29" s="3" t="s">
        <v>321</v>
      </c>
    </row>
  </sheetData>
  <mergeCells count="4">
    <mergeCell ref="A7:A8"/>
    <mergeCell ref="B7:B8"/>
    <mergeCell ref="C7:C8"/>
    <mergeCell ref="A2:E2"/>
  </mergeCells>
  <phoneticPr fontId="0" type="noConversion"/>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G36"/>
  <sheetViews>
    <sheetView showGridLines="0" view="pageBreakPreview" zoomScale="80" zoomScaleSheetLayoutView="80" workbookViewId="0">
      <selection activeCell="E26" sqref="E26"/>
    </sheetView>
  </sheetViews>
  <sheetFormatPr defaultColWidth="9.140625" defaultRowHeight="15" x14ac:dyDescent="0.2"/>
  <cols>
    <col min="1" max="1" width="6" style="72" customWidth="1"/>
    <col min="2" max="2" width="48.85546875" style="72" customWidth="1"/>
    <col min="3" max="3" width="14.140625" style="77" customWidth="1"/>
    <col min="4" max="5" width="25.5703125" style="72" customWidth="1"/>
    <col min="6" max="6" width="14.7109375" style="72" bestFit="1" customWidth="1"/>
    <col min="7" max="8" width="9.140625" style="72"/>
    <col min="9" max="9" width="12" style="72" bestFit="1" customWidth="1"/>
    <col min="10" max="10" width="9.140625" style="72"/>
    <col min="11" max="11" width="10.42578125" style="72" bestFit="1" customWidth="1"/>
    <col min="12" max="16384" width="9.140625" style="72"/>
  </cols>
  <sheetData>
    <row r="2" spans="1:7" x14ac:dyDescent="0.2">
      <c r="A2" s="1875" t="s">
        <v>377</v>
      </c>
      <c r="B2" s="1875"/>
      <c r="C2" s="1875"/>
      <c r="D2" s="1875"/>
      <c r="E2" s="1875"/>
    </row>
    <row r="3" spans="1:7" x14ac:dyDescent="0.2">
      <c r="B3" s="1875" t="s">
        <v>294</v>
      </c>
      <c r="C3" s="1875"/>
      <c r="D3" s="1875"/>
    </row>
    <row r="6" spans="1:7" x14ac:dyDescent="0.2">
      <c r="A6" s="93" t="s">
        <v>140</v>
      </c>
      <c r="B6" s="93"/>
      <c r="C6" s="93"/>
      <c r="D6" s="93"/>
      <c r="E6" s="93"/>
    </row>
    <row r="7" spans="1:7" x14ac:dyDescent="0.2">
      <c r="A7" s="93"/>
      <c r="B7" s="93"/>
      <c r="C7" s="93"/>
      <c r="D7" s="93"/>
      <c r="E7" s="93"/>
    </row>
    <row r="8" spans="1:7" ht="28.5" x14ac:dyDescent="0.2">
      <c r="A8" s="1874" t="s">
        <v>15</v>
      </c>
      <c r="B8" s="1885" t="s">
        <v>6</v>
      </c>
      <c r="C8" s="1874" t="s">
        <v>26</v>
      </c>
      <c r="D8" s="190" t="s">
        <v>149</v>
      </c>
      <c r="E8" s="190" t="s">
        <v>150</v>
      </c>
    </row>
    <row r="9" spans="1:7" x14ac:dyDescent="0.2">
      <c r="A9" s="1874"/>
      <c r="B9" s="1885"/>
      <c r="C9" s="1874"/>
      <c r="D9" s="185" t="s">
        <v>1</v>
      </c>
      <c r="E9" s="185" t="s">
        <v>1</v>
      </c>
    </row>
    <row r="10" spans="1:7" ht="28.5" x14ac:dyDescent="0.2">
      <c r="A10" s="160">
        <v>1</v>
      </c>
      <c r="B10" s="79" t="s">
        <v>297</v>
      </c>
      <c r="C10" s="147"/>
      <c r="D10" s="82"/>
      <c r="E10" s="82"/>
    </row>
    <row r="11" spans="1:7" x14ac:dyDescent="0.2">
      <c r="A11" s="165"/>
      <c r="B11" s="85" t="s">
        <v>298</v>
      </c>
      <c r="C11" s="85"/>
      <c r="D11" s="14"/>
      <c r="E11" s="14"/>
      <c r="G11" s="154"/>
    </row>
    <row r="12" spans="1:7" x14ac:dyDescent="0.2">
      <c r="A12" s="165"/>
      <c r="B12" s="166" t="s">
        <v>299</v>
      </c>
      <c r="C12" s="165"/>
      <c r="D12" s="14"/>
      <c r="E12" s="14"/>
      <c r="G12" s="154"/>
    </row>
    <row r="13" spans="1:7" x14ac:dyDescent="0.2">
      <c r="A13" s="86"/>
      <c r="B13" s="169" t="s">
        <v>300</v>
      </c>
      <c r="C13" s="147"/>
      <c r="D13" s="18"/>
      <c r="E13" s="18"/>
      <c r="F13" s="93"/>
      <c r="G13" s="154"/>
    </row>
    <row r="14" spans="1:7" x14ac:dyDescent="0.2">
      <c r="A14" s="86"/>
      <c r="B14" s="169" t="s">
        <v>183</v>
      </c>
      <c r="C14" s="147"/>
      <c r="D14" s="18"/>
      <c r="E14" s="18"/>
      <c r="F14" s="93"/>
      <c r="G14" s="154"/>
    </row>
    <row r="15" spans="1:7" x14ac:dyDescent="0.2">
      <c r="A15" s="86"/>
      <c r="B15" s="169" t="s">
        <v>183</v>
      </c>
      <c r="C15" s="147"/>
      <c r="D15" s="18"/>
      <c r="E15" s="18"/>
      <c r="F15" s="93"/>
      <c r="G15" s="154"/>
    </row>
    <row r="16" spans="1:7" x14ac:dyDescent="0.2">
      <c r="A16" s="86"/>
      <c r="B16" s="100"/>
      <c r="C16" s="147"/>
      <c r="D16" s="18"/>
      <c r="E16" s="18"/>
      <c r="F16" s="93"/>
      <c r="G16" s="154"/>
    </row>
    <row r="17" spans="1:7" x14ac:dyDescent="0.2">
      <c r="A17" s="86">
        <v>2</v>
      </c>
      <c r="B17" s="89" t="s">
        <v>301</v>
      </c>
      <c r="C17" s="147"/>
      <c r="D17" s="18"/>
      <c r="E17" s="18"/>
      <c r="F17" s="93"/>
      <c r="G17" s="154"/>
    </row>
    <row r="18" spans="1:7" x14ac:dyDescent="0.2">
      <c r="A18" s="86"/>
      <c r="B18" s="85" t="s">
        <v>298</v>
      </c>
      <c r="C18" s="147"/>
      <c r="D18" s="18"/>
      <c r="E18" s="18"/>
      <c r="F18" s="93"/>
      <c r="G18" s="154"/>
    </row>
    <row r="19" spans="1:7" x14ac:dyDescent="0.2">
      <c r="A19" s="86"/>
      <c r="B19" s="166" t="s">
        <v>299</v>
      </c>
      <c r="C19" s="147"/>
      <c r="D19" s="42">
        <f>+'BalanceSheet and P&amp;L 23-24'!D217</f>
        <v>26924.051353812123</v>
      </c>
      <c r="E19" s="42">
        <v>26002.764943458002</v>
      </c>
      <c r="F19" s="93"/>
      <c r="G19" s="154"/>
    </row>
    <row r="20" spans="1:7" x14ac:dyDescent="0.2">
      <c r="A20" s="86"/>
      <c r="B20" s="169" t="s">
        <v>596</v>
      </c>
      <c r="C20" s="147"/>
      <c r="D20" s="18"/>
      <c r="E20" s="42">
        <v>5564.6297004089993</v>
      </c>
      <c r="F20" s="93"/>
      <c r="G20" s="154"/>
    </row>
    <row r="21" spans="1:7" x14ac:dyDescent="0.2">
      <c r="A21" s="86"/>
      <c r="B21" s="169" t="s">
        <v>183</v>
      </c>
      <c r="C21" s="147"/>
      <c r="D21" s="18"/>
      <c r="E21" s="18"/>
      <c r="F21" s="93"/>
      <c r="G21" s="154"/>
    </row>
    <row r="22" spans="1:7" x14ac:dyDescent="0.2">
      <c r="A22" s="86"/>
      <c r="B22" s="169" t="s">
        <v>183</v>
      </c>
      <c r="C22" s="147"/>
      <c r="D22" s="18"/>
      <c r="E22" s="18"/>
      <c r="F22" s="93"/>
      <c r="G22" s="154"/>
    </row>
    <row r="23" spans="1:7" x14ac:dyDescent="0.2">
      <c r="A23" s="86"/>
      <c r="B23" s="169"/>
      <c r="C23" s="147"/>
      <c r="D23" s="18"/>
      <c r="E23" s="18"/>
      <c r="F23" s="93"/>
      <c r="G23" s="154"/>
    </row>
    <row r="24" spans="1:7" x14ac:dyDescent="0.2">
      <c r="A24" s="86"/>
      <c r="B24" s="100" t="s">
        <v>7</v>
      </c>
      <c r="C24" s="147"/>
      <c r="D24" s="1812">
        <f>SUM(D11:D22)</f>
        <v>26924.051353812123</v>
      </c>
      <c r="E24" s="1812">
        <f>SUM(E11:E22)</f>
        <v>31567.394643867003</v>
      </c>
      <c r="F24" s="93"/>
      <c r="G24" s="154"/>
    </row>
    <row r="26" spans="1:7" x14ac:dyDescent="0.2">
      <c r="A26" s="93" t="s">
        <v>141</v>
      </c>
      <c r="B26" s="93"/>
      <c r="C26" s="93"/>
      <c r="D26" s="93"/>
      <c r="E26" s="93"/>
    </row>
    <row r="27" spans="1:7" x14ac:dyDescent="0.2">
      <c r="A27" s="93"/>
      <c r="B27" s="93"/>
      <c r="C27" s="93"/>
      <c r="D27" s="93"/>
      <c r="E27" s="93"/>
    </row>
    <row r="28" spans="1:7" ht="28.5" x14ac:dyDescent="0.2">
      <c r="A28" s="1874" t="s">
        <v>15</v>
      </c>
      <c r="B28" s="1885" t="s">
        <v>6</v>
      </c>
      <c r="C28" s="1874" t="s">
        <v>17</v>
      </c>
      <c r="D28" s="190" t="s">
        <v>149</v>
      </c>
      <c r="E28" s="190" t="s">
        <v>150</v>
      </c>
    </row>
    <row r="29" spans="1:7" x14ac:dyDescent="0.2">
      <c r="A29" s="1874"/>
      <c r="B29" s="1885"/>
      <c r="C29" s="1874"/>
      <c r="D29" s="185" t="s">
        <v>1</v>
      </c>
      <c r="E29" s="185" t="s">
        <v>1</v>
      </c>
    </row>
    <row r="30" spans="1:7" x14ac:dyDescent="0.2">
      <c r="A30" s="86">
        <v>1</v>
      </c>
      <c r="B30" s="82" t="s">
        <v>295</v>
      </c>
      <c r="C30" s="168"/>
      <c r="D30" s="42">
        <f>+'BalanceSheet and P&amp;L 23-24'!D222</f>
        <v>6.8380321949999985</v>
      </c>
      <c r="E30" s="42">
        <f>+'BalanceSheet and P&amp;L 23-24'!E222</f>
        <v>263.66342570199998</v>
      </c>
    </row>
    <row r="31" spans="1:7" x14ac:dyDescent="0.2">
      <c r="A31" s="86">
        <v>2</v>
      </c>
      <c r="B31" s="82" t="s">
        <v>296</v>
      </c>
      <c r="C31" s="80"/>
      <c r="D31" s="42">
        <f>+'BalanceSheet and P&amp;L 23-24'!D224</f>
        <v>1.139657E-2</v>
      </c>
      <c r="E31" s="42">
        <f>+'BalanceSheet and P&amp;L 23-24'!E224</f>
        <v>1.4654745E-2</v>
      </c>
    </row>
    <row r="32" spans="1:7" x14ac:dyDescent="0.2">
      <c r="A32" s="86"/>
      <c r="B32" s="82" t="s">
        <v>183</v>
      </c>
      <c r="C32" s="147"/>
      <c r="D32" s="14"/>
      <c r="E32" s="14"/>
    </row>
    <row r="33" spans="1:5" x14ac:dyDescent="0.2">
      <c r="A33" s="86"/>
      <c r="B33" s="169" t="s">
        <v>183</v>
      </c>
      <c r="C33" s="86"/>
      <c r="D33" s="1812">
        <f>SUM(D30:D32)</f>
        <v>6.8494287649999981</v>
      </c>
      <c r="E33" s="1812">
        <f>SUM(E30:E32)</f>
        <v>263.67808044699996</v>
      </c>
    </row>
    <row r="36" spans="1:5" x14ac:dyDescent="0.2">
      <c r="A36" s="93" t="s">
        <v>379</v>
      </c>
      <c r="B36" s="3" t="s">
        <v>321</v>
      </c>
    </row>
  </sheetData>
  <mergeCells count="8">
    <mergeCell ref="A2:E2"/>
    <mergeCell ref="B3:D3"/>
    <mergeCell ref="A28:A29"/>
    <mergeCell ref="B28:B29"/>
    <mergeCell ref="C28:C29"/>
    <mergeCell ref="A8:A9"/>
    <mergeCell ref="B8:B9"/>
    <mergeCell ref="C8:C9"/>
  </mergeCells>
  <dataValidations xWindow="978" yWindow="285" count="1">
    <dataValidation allowBlank="1" showInputMessage="1" showErrorMessage="1" promptTitle="Caution" prompt="Put Manual figure here calculated in Rough work._x000a_" sqref="D30:D31"/>
  </dataValidations>
  <printOptions horizontalCentered="1"/>
  <pageMargins left="0.78740157480314965" right="0.39370078740157483" top="0.78740157480314965" bottom="0.19685039370078741" header="0.31496062992125984" footer="0.31496062992125984"/>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F27"/>
  <sheetViews>
    <sheetView showGridLines="0" view="pageBreakPreview" zoomScale="90" zoomScaleSheetLayoutView="90" workbookViewId="0">
      <selection activeCell="E10" sqref="E10"/>
    </sheetView>
  </sheetViews>
  <sheetFormatPr defaultColWidth="9.140625" defaultRowHeight="15" x14ac:dyDescent="0.2"/>
  <cols>
    <col min="1" max="1" width="8.85546875" style="27" customWidth="1"/>
    <col min="2" max="2" width="41.28515625" style="27" customWidth="1"/>
    <col min="3" max="3" width="13.5703125" style="27" bestFit="1" customWidth="1"/>
    <col min="4" max="5" width="26.7109375" style="27" customWidth="1"/>
    <col min="6" max="6" width="14.7109375" style="27" bestFit="1" customWidth="1"/>
    <col min="7" max="7" width="13.85546875" style="27" bestFit="1" customWidth="1"/>
    <col min="8" max="16384" width="9.140625" style="27"/>
  </cols>
  <sheetData>
    <row r="1" spans="1:6" s="72" customFormat="1" x14ac:dyDescent="0.2">
      <c r="C1" s="77"/>
    </row>
    <row r="2" spans="1:6" s="72" customFormat="1" x14ac:dyDescent="0.2">
      <c r="A2" s="1875" t="s">
        <v>377</v>
      </c>
      <c r="B2" s="1875"/>
      <c r="C2" s="1875"/>
      <c r="D2" s="1875"/>
      <c r="E2" s="1875"/>
    </row>
    <row r="3" spans="1:6" s="72" customFormat="1" x14ac:dyDescent="0.2">
      <c r="C3" s="1" t="s">
        <v>294</v>
      </c>
    </row>
    <row r="4" spans="1:6" s="72" customFormat="1" x14ac:dyDescent="0.2">
      <c r="C4" s="77"/>
    </row>
    <row r="5" spans="1:6" x14ac:dyDescent="0.2">
      <c r="A5" s="1872" t="s">
        <v>142</v>
      </c>
      <c r="B5" s="1872"/>
      <c r="C5" s="1872"/>
      <c r="D5" s="1872"/>
      <c r="E5" s="26"/>
    </row>
    <row r="6" spans="1:6" x14ac:dyDescent="0.2">
      <c r="A6" s="220"/>
      <c r="B6" s="220"/>
      <c r="C6" s="220"/>
      <c r="D6" s="220"/>
      <c r="E6" s="26"/>
    </row>
    <row r="7" spans="1:6" ht="28.5" x14ac:dyDescent="0.2">
      <c r="A7" s="1874" t="s">
        <v>15</v>
      </c>
      <c r="B7" s="1874" t="s">
        <v>6</v>
      </c>
      <c r="C7" s="1874" t="s">
        <v>26</v>
      </c>
      <c r="D7" s="190" t="s">
        <v>149</v>
      </c>
      <c r="E7" s="190" t="s">
        <v>150</v>
      </c>
    </row>
    <row r="8" spans="1:6" x14ac:dyDescent="0.2">
      <c r="A8" s="1874"/>
      <c r="B8" s="1874"/>
      <c r="C8" s="1874"/>
      <c r="D8" s="185" t="s">
        <v>1</v>
      </c>
      <c r="E8" s="185" t="s">
        <v>1</v>
      </c>
    </row>
    <row r="9" spans="1:6" s="72" customFormat="1" x14ac:dyDescent="0.2">
      <c r="A9" s="86">
        <v>1</v>
      </c>
      <c r="B9" s="10" t="s">
        <v>313</v>
      </c>
      <c r="C9" s="86"/>
      <c r="D9" s="14"/>
      <c r="E9" s="14"/>
    </row>
    <row r="10" spans="1:6" s="136" customFormat="1" x14ac:dyDescent="0.2">
      <c r="A10" s="86">
        <v>2</v>
      </c>
      <c r="B10" s="82" t="s">
        <v>314</v>
      </c>
      <c r="C10" s="163"/>
      <c r="D10" s="42">
        <f>+'BalanceSheet and P&amp;L 23-24'!D232</f>
        <v>1.8876684990000001</v>
      </c>
      <c r="E10" s="42">
        <f>+'BalanceSheet and P&amp;L 23-24'!E232</f>
        <v>1.781401367</v>
      </c>
      <c r="F10" s="72"/>
    </row>
    <row r="11" spans="1:6" x14ac:dyDescent="0.2">
      <c r="A11" s="10"/>
      <c r="B11" s="55" t="s">
        <v>183</v>
      </c>
      <c r="C11" s="11"/>
      <c r="D11" s="18"/>
      <c r="E11" s="18"/>
      <c r="F11" s="72"/>
    </row>
    <row r="12" spans="1:6" x14ac:dyDescent="0.2">
      <c r="A12" s="10"/>
      <c r="B12" s="55" t="s">
        <v>7</v>
      </c>
      <c r="C12" s="11"/>
      <c r="D12" s="1812">
        <f>SUM(D10:D11)</f>
        <v>1.8876684990000001</v>
      </c>
      <c r="E12" s="1812">
        <f>SUM(E10:E11)</f>
        <v>1.781401367</v>
      </c>
      <c r="F12" s="72"/>
    </row>
    <row r="13" spans="1:6" x14ac:dyDescent="0.2">
      <c r="B13" s="45"/>
      <c r="C13" s="30"/>
      <c r="D13" s="19"/>
      <c r="E13" s="19"/>
      <c r="F13" s="72"/>
    </row>
    <row r="14" spans="1:6" x14ac:dyDescent="0.2">
      <c r="B14" s="45"/>
      <c r="C14" s="30"/>
      <c r="D14" s="19"/>
      <c r="E14" s="19"/>
      <c r="F14" s="72"/>
    </row>
    <row r="15" spans="1:6" x14ac:dyDescent="0.2">
      <c r="A15" s="61" t="s">
        <v>151</v>
      </c>
      <c r="B15" s="61"/>
      <c r="C15" s="61"/>
      <c r="D15" s="61"/>
      <c r="E15" s="61"/>
    </row>
    <row r="16" spans="1:6" x14ac:dyDescent="0.2">
      <c r="A16" s="220"/>
      <c r="B16" s="220"/>
      <c r="C16" s="220"/>
      <c r="D16" s="220"/>
      <c r="E16" s="220"/>
    </row>
    <row r="17" spans="1:6" ht="28.5" x14ac:dyDescent="0.2">
      <c r="A17" s="1874" t="s">
        <v>15</v>
      </c>
      <c r="B17" s="1874" t="s">
        <v>6</v>
      </c>
      <c r="C17" s="1874" t="s">
        <v>26</v>
      </c>
      <c r="D17" s="190" t="s">
        <v>149</v>
      </c>
      <c r="E17" s="190" t="s">
        <v>150</v>
      </c>
    </row>
    <row r="18" spans="1:6" ht="13.15" customHeight="1" x14ac:dyDescent="0.2">
      <c r="A18" s="1874"/>
      <c r="B18" s="1874"/>
      <c r="C18" s="1874"/>
      <c r="D18" s="185" t="s">
        <v>1</v>
      </c>
      <c r="E18" s="185" t="s">
        <v>1</v>
      </c>
    </row>
    <row r="19" spans="1:6" x14ac:dyDescent="0.2">
      <c r="A19" s="8"/>
      <c r="B19" s="9"/>
      <c r="C19" s="10"/>
      <c r="D19" s="10"/>
      <c r="E19" s="10"/>
    </row>
    <row r="20" spans="1:6" x14ac:dyDescent="0.2">
      <c r="A20" s="8">
        <v>1</v>
      </c>
      <c r="B20" s="82" t="s">
        <v>604</v>
      </c>
      <c r="C20" s="10"/>
      <c r="D20" s="12">
        <f>+'BalanceSheet and P&amp;L 23-24'!D229</f>
        <v>1.8876684990000001</v>
      </c>
      <c r="E20" s="12">
        <f>+'BalanceSheet and P&amp;L 23-24'!E229</f>
        <v>1.781401367</v>
      </c>
    </row>
    <row r="21" spans="1:6" s="136" customFormat="1" x14ac:dyDescent="0.2">
      <c r="A21" s="8"/>
      <c r="B21" s="10"/>
      <c r="C21" s="10"/>
      <c r="D21" s="14"/>
      <c r="E21" s="14"/>
      <c r="F21" s="27"/>
    </row>
    <row r="22" spans="1:6" x14ac:dyDescent="0.2">
      <c r="A22" s="8"/>
      <c r="B22" s="24"/>
      <c r="C22" s="9"/>
      <c r="D22" s="18"/>
      <c r="E22" s="18"/>
    </row>
    <row r="23" spans="1:6" x14ac:dyDescent="0.2">
      <c r="A23" s="8"/>
      <c r="B23" s="9"/>
      <c r="C23" s="10"/>
      <c r="D23" s="10"/>
      <c r="E23" s="10"/>
    </row>
    <row r="24" spans="1:6" x14ac:dyDescent="0.2">
      <c r="A24" s="10"/>
      <c r="B24" s="10" t="s">
        <v>7</v>
      </c>
      <c r="C24" s="10"/>
      <c r="D24" s="1812">
        <f>SUM(D20:D23)</f>
        <v>1.8876684990000001</v>
      </c>
      <c r="E24" s="1812">
        <f>SUM(E20:E23)</f>
        <v>1.781401367</v>
      </c>
    </row>
    <row r="27" spans="1:6" x14ac:dyDescent="0.2">
      <c r="A27" s="217" t="s">
        <v>379</v>
      </c>
      <c r="B27" s="3" t="s">
        <v>321</v>
      </c>
    </row>
  </sheetData>
  <mergeCells count="8">
    <mergeCell ref="A2:E2"/>
    <mergeCell ref="A17:A18"/>
    <mergeCell ref="A5:D5"/>
    <mergeCell ref="A7:A8"/>
    <mergeCell ref="B7:B8"/>
    <mergeCell ref="C7:C8"/>
    <mergeCell ref="B17:B18"/>
    <mergeCell ref="C17:C18"/>
  </mergeCell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64"/>
  <sheetViews>
    <sheetView showGridLines="0" view="pageBreakPreview" topLeftCell="A28" zoomScale="80" zoomScaleSheetLayoutView="80" workbookViewId="0">
      <selection activeCell="G34" sqref="G34"/>
    </sheetView>
  </sheetViews>
  <sheetFormatPr defaultColWidth="9.140625" defaultRowHeight="15" x14ac:dyDescent="0.2"/>
  <cols>
    <col min="1" max="1" width="5.7109375" style="3" customWidth="1"/>
    <col min="2" max="2" width="6" style="3" customWidth="1"/>
    <col min="3" max="3" width="5.5703125" style="3" customWidth="1"/>
    <col min="4" max="4" width="40.5703125" style="3" customWidth="1"/>
    <col min="5" max="5" width="7.7109375" style="4" customWidth="1"/>
    <col min="6" max="6" width="29.7109375" style="4" customWidth="1"/>
    <col min="7" max="7" width="29.7109375" style="3" customWidth="1"/>
    <col min="8" max="8" width="18.85546875" style="3" bestFit="1" customWidth="1"/>
    <col min="9" max="9" width="18.42578125" style="3" bestFit="1" customWidth="1"/>
    <col min="10" max="10" width="15.7109375" style="3" bestFit="1" customWidth="1"/>
    <col min="11" max="16384" width="9.140625" style="3"/>
  </cols>
  <sheetData>
    <row r="2" spans="1:9" x14ac:dyDescent="0.2">
      <c r="C2" s="1875" t="s">
        <v>377</v>
      </c>
      <c r="D2" s="1875"/>
      <c r="E2" s="1875"/>
      <c r="F2" s="1875"/>
      <c r="G2" s="1875"/>
    </row>
    <row r="3" spans="1:9" x14ac:dyDescent="0.2">
      <c r="E3" s="1" t="s">
        <v>294</v>
      </c>
    </row>
    <row r="4" spans="1:9" x14ac:dyDescent="0.2">
      <c r="E4" s="2" t="s">
        <v>168</v>
      </c>
    </row>
    <row r="5" spans="1:9" x14ac:dyDescent="0.2">
      <c r="E5" s="2"/>
    </row>
    <row r="6" spans="1:9" x14ac:dyDescent="0.2">
      <c r="E6" s="2"/>
    </row>
    <row r="7" spans="1:9" x14ac:dyDescent="0.2">
      <c r="A7" s="1873" t="s">
        <v>156</v>
      </c>
      <c r="B7" s="1873"/>
      <c r="C7" s="1873"/>
      <c r="D7" s="1873"/>
      <c r="E7" s="1873"/>
      <c r="F7" s="1873"/>
      <c r="G7" s="1873"/>
    </row>
    <row r="8" spans="1:9" x14ac:dyDescent="0.2">
      <c r="A8" s="5"/>
      <c r="B8" s="5"/>
      <c r="C8" s="5"/>
      <c r="D8" s="5"/>
      <c r="E8" s="5"/>
      <c r="F8" s="5"/>
      <c r="G8" s="5"/>
    </row>
    <row r="9" spans="1:9" x14ac:dyDescent="0.2">
      <c r="A9" s="5"/>
      <c r="B9" s="5"/>
      <c r="C9" s="5"/>
      <c r="D9" s="5"/>
      <c r="E9" s="5"/>
      <c r="F9" s="5"/>
      <c r="G9" s="5" t="s">
        <v>169</v>
      </c>
    </row>
    <row r="10" spans="1:9" ht="28.5" x14ac:dyDescent="0.2">
      <c r="A10" s="6" t="s">
        <v>3</v>
      </c>
      <c r="B10" s="1874" t="s">
        <v>6</v>
      </c>
      <c r="C10" s="1874"/>
      <c r="D10" s="1874"/>
      <c r="E10" s="6" t="s">
        <v>36</v>
      </c>
      <c r="F10" s="6" t="s">
        <v>149</v>
      </c>
      <c r="G10" s="6" t="s">
        <v>150</v>
      </c>
      <c r="H10" s="7"/>
    </row>
    <row r="11" spans="1:9" x14ac:dyDescent="0.2">
      <c r="A11" s="8" t="s">
        <v>4</v>
      </c>
      <c r="B11" s="9" t="s">
        <v>37</v>
      </c>
      <c r="C11" s="9"/>
      <c r="D11" s="10"/>
      <c r="E11" s="11"/>
      <c r="F11" s="12"/>
      <c r="G11" s="12"/>
      <c r="H11" s="13"/>
    </row>
    <row r="12" spans="1:9" x14ac:dyDescent="0.2">
      <c r="A12" s="8">
        <v>1</v>
      </c>
      <c r="B12" s="9" t="s">
        <v>121</v>
      </c>
      <c r="C12" s="9"/>
      <c r="D12" s="10"/>
      <c r="E12" s="11"/>
      <c r="F12" s="12"/>
      <c r="G12" s="12"/>
      <c r="H12" s="13"/>
    </row>
    <row r="13" spans="1:9" x14ac:dyDescent="0.2">
      <c r="A13" s="10"/>
      <c r="B13" s="11" t="s">
        <v>20</v>
      </c>
      <c r="C13" s="10" t="s">
        <v>96</v>
      </c>
      <c r="D13" s="10"/>
      <c r="E13" s="11"/>
      <c r="F13" s="42">
        <f>+'3'!D15</f>
        <v>26115.397229399994</v>
      </c>
      <c r="G13" s="42">
        <f>+'3'!E15</f>
        <v>25918.5</v>
      </c>
      <c r="H13" s="15"/>
      <c r="I13" s="15"/>
    </row>
    <row r="14" spans="1:9" x14ac:dyDescent="0.2">
      <c r="A14" s="10"/>
      <c r="B14" s="11" t="s">
        <v>21</v>
      </c>
      <c r="C14" s="10" t="s">
        <v>27</v>
      </c>
      <c r="D14" s="10"/>
      <c r="E14" s="11"/>
      <c r="F14" s="42">
        <f>+'4'!D33</f>
        <v>-10155.82029276799</v>
      </c>
      <c r="G14" s="42">
        <f>+'4'!E33</f>
        <v>-9033.888312791003</v>
      </c>
      <c r="H14" s="15"/>
      <c r="I14" s="15"/>
    </row>
    <row r="15" spans="1:9" x14ac:dyDescent="0.2">
      <c r="A15" s="10"/>
      <c r="B15" s="11" t="s">
        <v>22</v>
      </c>
      <c r="C15" s="10" t="s">
        <v>83</v>
      </c>
      <c r="D15" s="10"/>
      <c r="E15" s="11">
        <v>3</v>
      </c>
      <c r="F15" s="1813"/>
      <c r="G15" s="1813"/>
      <c r="H15" s="15"/>
      <c r="I15" s="15"/>
    </row>
    <row r="16" spans="1:9" x14ac:dyDescent="0.2">
      <c r="A16" s="11"/>
      <c r="B16" s="11"/>
      <c r="C16" s="11"/>
      <c r="D16" s="17"/>
      <c r="E16" s="11">
        <v>4</v>
      </c>
      <c r="F16" s="1812"/>
      <c r="G16" s="1812"/>
      <c r="H16" s="15"/>
      <c r="I16" s="19"/>
    </row>
    <row r="17" spans="1:10" x14ac:dyDescent="0.2">
      <c r="A17" s="8">
        <v>2</v>
      </c>
      <c r="B17" s="9" t="s">
        <v>97</v>
      </c>
      <c r="C17" s="9"/>
      <c r="D17" s="10"/>
      <c r="E17" s="11"/>
      <c r="F17" s="42">
        <f>+'4'!D35</f>
        <v>188.7891119040174</v>
      </c>
      <c r="G17" s="42">
        <f>+'4'!E35</f>
        <v>91.14101530401723</v>
      </c>
      <c r="H17" s="15"/>
      <c r="I17" s="15"/>
    </row>
    <row r="18" spans="1:10" x14ac:dyDescent="0.2">
      <c r="A18" s="8">
        <v>3</v>
      </c>
      <c r="B18" s="9" t="s">
        <v>98</v>
      </c>
      <c r="C18" s="9"/>
      <c r="D18" s="10"/>
      <c r="E18" s="11"/>
      <c r="F18" s="42"/>
      <c r="G18" s="42"/>
      <c r="H18" s="15"/>
      <c r="I18" s="21"/>
    </row>
    <row r="19" spans="1:10" x14ac:dyDescent="0.2">
      <c r="A19" s="10"/>
      <c r="B19" s="11" t="s">
        <v>20</v>
      </c>
      <c r="C19" s="10" t="s">
        <v>122</v>
      </c>
      <c r="D19" s="10"/>
      <c r="E19" s="11"/>
      <c r="F19" s="1813"/>
      <c r="G19" s="1813"/>
      <c r="H19" s="15"/>
      <c r="I19" s="21"/>
    </row>
    <row r="20" spans="1:10" x14ac:dyDescent="0.2">
      <c r="A20" s="10"/>
      <c r="B20" s="10"/>
      <c r="C20" s="11" t="s">
        <v>53</v>
      </c>
      <c r="D20" s="10" t="s">
        <v>123</v>
      </c>
      <c r="E20" s="11"/>
      <c r="F20" s="42">
        <f>+'BalanceSheet and P&amp;L 23-24'!D270+'BalanceSheet and P&amp;L 23-24'!D271+'BalanceSheet and P&amp;L 23-24'!D272</f>
        <v>24329.550811953406</v>
      </c>
      <c r="G20" s="42">
        <f>+'BalanceSheet and P&amp;L 23-24'!E270+'BalanceSheet and P&amp;L 23-24'!E271+'BalanceSheet and P&amp;L 23-24'!E272</f>
        <v>24271.388912997423</v>
      </c>
      <c r="H20" s="15"/>
      <c r="I20" s="21"/>
    </row>
    <row r="21" spans="1:10" x14ac:dyDescent="0.2">
      <c r="A21" s="10"/>
      <c r="B21" s="10"/>
      <c r="C21" s="11" t="s">
        <v>54</v>
      </c>
      <c r="D21" s="10" t="s">
        <v>84</v>
      </c>
      <c r="E21" s="11">
        <v>5</v>
      </c>
      <c r="F21" s="42">
        <f>+'BalanceSheet and P&amp;L 23-24'!D276+'BalanceSheet and P&amp;L 23-24'!D277+'BalanceSheet and P&amp;L 23-24'!D279</f>
        <v>394.99178799999999</v>
      </c>
      <c r="G21" s="42">
        <f>+'BalanceSheet and P&amp;L 23-24'!E276+'BalanceSheet and P&amp;L 23-24'!E277+'BalanceSheet and P&amp;L 23-24'!E279</f>
        <v>415.95047189999997</v>
      </c>
      <c r="H21" s="15"/>
      <c r="I21" s="21"/>
    </row>
    <row r="22" spans="1:10" x14ac:dyDescent="0.2">
      <c r="A22" s="10"/>
      <c r="B22" s="10"/>
      <c r="C22" s="1811" t="s">
        <v>664</v>
      </c>
      <c r="D22" s="10"/>
      <c r="E22" s="11"/>
      <c r="F22" s="42">
        <f>+'BalanceSheet and P&amp;L 23-24'!D43</f>
        <v>2858.522720325645</v>
      </c>
      <c r="G22" s="42">
        <f>+'BalanceSheet and P&amp;L 23-24'!E43</f>
        <v>2926.5594399255865</v>
      </c>
      <c r="H22" s="15"/>
      <c r="I22" s="21"/>
    </row>
    <row r="23" spans="1:10" x14ac:dyDescent="0.2">
      <c r="A23" s="10"/>
      <c r="B23" s="11" t="s">
        <v>21</v>
      </c>
      <c r="C23" s="10" t="s">
        <v>99</v>
      </c>
      <c r="D23" s="10"/>
      <c r="E23" s="22">
        <v>5.0999999999999996</v>
      </c>
      <c r="F23" s="42">
        <f>+'6 &amp; 7'!D29</f>
        <v>69.678318899999994</v>
      </c>
      <c r="G23" s="42">
        <f>+'6 &amp; 7'!E29</f>
        <v>334.28806329999998</v>
      </c>
      <c r="H23" s="15"/>
      <c r="I23" s="21"/>
    </row>
    <row r="24" spans="1:10" x14ac:dyDescent="0.2">
      <c r="A24" s="10"/>
      <c r="B24" s="11" t="s">
        <v>22</v>
      </c>
      <c r="C24" s="10" t="s">
        <v>85</v>
      </c>
      <c r="D24" s="10"/>
      <c r="E24" s="22">
        <v>5.2</v>
      </c>
      <c r="F24" s="42">
        <f>+'6 &amp; 7'!D16</f>
        <v>849.92103283900008</v>
      </c>
      <c r="G24" s="42">
        <f>+'6 &amp; 7'!E16</f>
        <v>654.67374213900007</v>
      </c>
      <c r="H24" s="15"/>
      <c r="I24" s="21"/>
    </row>
    <row r="25" spans="1:10" x14ac:dyDescent="0.2">
      <c r="A25" s="10"/>
      <c r="B25" s="11" t="s">
        <v>43</v>
      </c>
      <c r="C25" s="10" t="s">
        <v>38</v>
      </c>
      <c r="D25" s="10"/>
      <c r="E25" s="11"/>
      <c r="F25" s="42">
        <f>+'6 &amp; 7'!D27</f>
        <v>1504.1542353</v>
      </c>
      <c r="G25" s="42">
        <f>+'6 &amp; 7'!E27</f>
        <v>1153.4486072999998</v>
      </c>
      <c r="H25" s="15"/>
      <c r="I25" s="21"/>
    </row>
    <row r="26" spans="1:10" x14ac:dyDescent="0.2">
      <c r="A26" s="11"/>
      <c r="B26" s="11"/>
      <c r="C26" s="11"/>
      <c r="D26" s="17"/>
      <c r="E26" s="11">
        <v>6</v>
      </c>
      <c r="F26" s="1812"/>
      <c r="G26" s="1812"/>
      <c r="H26" s="15"/>
      <c r="I26" s="21"/>
    </row>
    <row r="27" spans="1:10" x14ac:dyDescent="0.2">
      <c r="A27" s="8">
        <v>4</v>
      </c>
      <c r="B27" s="9" t="s">
        <v>100</v>
      </c>
      <c r="C27" s="8"/>
      <c r="D27" s="10"/>
      <c r="E27" s="11">
        <v>7</v>
      </c>
      <c r="F27" s="42"/>
      <c r="G27" s="42"/>
      <c r="H27" s="15"/>
      <c r="I27" s="21"/>
    </row>
    <row r="28" spans="1:10" x14ac:dyDescent="0.2">
      <c r="A28" s="10"/>
      <c r="B28" s="11" t="s">
        <v>20</v>
      </c>
      <c r="C28" s="10" t="s">
        <v>101</v>
      </c>
      <c r="D28" s="10"/>
      <c r="E28" s="11"/>
      <c r="F28" s="42">
        <f>+'8'!F31</f>
        <v>16043.894236554603</v>
      </c>
      <c r="G28" s="42">
        <f>+'8'!G31</f>
        <v>17272.726526849568</v>
      </c>
      <c r="H28" s="15"/>
      <c r="I28" s="21"/>
    </row>
    <row r="29" spans="1:10" x14ac:dyDescent="0.2">
      <c r="A29" s="10"/>
      <c r="B29" s="11"/>
      <c r="C29" s="1811" t="s">
        <v>664</v>
      </c>
      <c r="D29" s="10"/>
      <c r="E29" s="11"/>
      <c r="F29" s="42">
        <f>+'9'!D42</f>
        <v>173.91196567135512</v>
      </c>
      <c r="G29" s="42">
        <f>+'9'!E42</f>
        <v>143.34015883641399</v>
      </c>
      <c r="H29" s="15"/>
      <c r="I29" s="21"/>
    </row>
    <row r="30" spans="1:10" x14ac:dyDescent="0.2">
      <c r="A30" s="10"/>
      <c r="B30" s="11" t="s">
        <v>21</v>
      </c>
      <c r="C30" s="10" t="s">
        <v>86</v>
      </c>
      <c r="D30" s="10"/>
      <c r="E30" s="11"/>
      <c r="F30" s="42">
        <f>+'9'!D39</f>
        <v>9749.5069075399988</v>
      </c>
      <c r="G30" s="42">
        <f>+'9'!E39</f>
        <v>8103.1883832429994</v>
      </c>
      <c r="H30" s="15"/>
      <c r="I30" s="21"/>
    </row>
    <row r="31" spans="1:10" x14ac:dyDescent="0.2">
      <c r="A31" s="10"/>
      <c r="B31" s="11" t="s">
        <v>22</v>
      </c>
      <c r="C31" s="10" t="s">
        <v>87</v>
      </c>
      <c r="D31" s="10"/>
      <c r="E31" s="11">
        <v>8</v>
      </c>
      <c r="F31" s="42">
        <f>+'9'!D26+'9'!D38</f>
        <v>4488.428153977</v>
      </c>
      <c r="G31" s="42">
        <f>+'9'!E26+'9'!E38</f>
        <v>4356.3027900809993</v>
      </c>
      <c r="H31" s="15"/>
      <c r="I31" s="21"/>
      <c r="J31" s="23"/>
    </row>
    <row r="32" spans="1:10" x14ac:dyDescent="0.2">
      <c r="A32" s="10"/>
      <c r="B32" s="11" t="s">
        <v>43</v>
      </c>
      <c r="C32" s="10" t="s">
        <v>39</v>
      </c>
      <c r="D32" s="10"/>
      <c r="E32" s="11"/>
      <c r="F32" s="42">
        <f>+'10'!D13</f>
        <v>282.64378577200011</v>
      </c>
      <c r="G32" s="42">
        <f>+'10'!E13</f>
        <v>239.07374370900004</v>
      </c>
      <c r="H32" s="15"/>
      <c r="I32" s="21"/>
    </row>
    <row r="33" spans="1:9" x14ac:dyDescent="0.2">
      <c r="A33" s="11"/>
      <c r="B33" s="11"/>
      <c r="C33" s="11"/>
      <c r="D33" s="17"/>
      <c r="E33" s="11">
        <v>9</v>
      </c>
      <c r="F33" s="18"/>
      <c r="G33" s="18"/>
      <c r="H33" s="15"/>
      <c r="I33" s="21"/>
    </row>
    <row r="34" spans="1:9" x14ac:dyDescent="0.2">
      <c r="A34" s="9"/>
      <c r="B34" s="9"/>
      <c r="C34" s="9"/>
      <c r="D34" s="24" t="s">
        <v>7</v>
      </c>
      <c r="E34" s="11">
        <v>10</v>
      </c>
      <c r="F34" s="1812">
        <f>+SUM(F12:F32)</f>
        <v>76893.570005369023</v>
      </c>
      <c r="G34" s="1812">
        <f>+SUM(G12:G32)</f>
        <v>76846.693542794004</v>
      </c>
      <c r="H34" s="19"/>
      <c r="I34" s="21"/>
    </row>
    <row r="35" spans="1:9" x14ac:dyDescent="0.2">
      <c r="A35" s="8" t="s">
        <v>16</v>
      </c>
      <c r="B35" s="9" t="s">
        <v>40</v>
      </c>
      <c r="C35" s="8"/>
      <c r="D35" s="10"/>
      <c r="E35" s="11"/>
      <c r="F35" s="20"/>
      <c r="G35" s="20"/>
      <c r="H35" s="15"/>
      <c r="I35" s="21"/>
    </row>
    <row r="36" spans="1:9" x14ac:dyDescent="0.2">
      <c r="A36" s="8">
        <v>1</v>
      </c>
      <c r="B36" s="9" t="s">
        <v>88</v>
      </c>
      <c r="C36" s="8"/>
      <c r="D36" s="10"/>
      <c r="E36" s="8"/>
      <c r="F36" s="20"/>
      <c r="G36" s="20"/>
      <c r="H36" s="15"/>
      <c r="I36" s="21"/>
    </row>
    <row r="37" spans="1:9" x14ac:dyDescent="0.2">
      <c r="A37" s="10"/>
      <c r="B37" s="11" t="s">
        <v>20</v>
      </c>
      <c r="C37" s="10" t="s">
        <v>89</v>
      </c>
      <c r="D37" s="10"/>
      <c r="E37" s="11"/>
      <c r="F37" s="20"/>
      <c r="G37" s="20"/>
      <c r="H37" s="15"/>
      <c r="I37" s="21"/>
    </row>
    <row r="38" spans="1:9" x14ac:dyDescent="0.2">
      <c r="A38" s="10"/>
      <c r="B38" s="17"/>
      <c r="C38" s="11" t="s">
        <v>53</v>
      </c>
      <c r="D38" s="10" t="s">
        <v>90</v>
      </c>
      <c r="E38" s="11"/>
      <c r="F38" s="42">
        <f>+'11'!J19</f>
        <v>29253.386922338988</v>
      </c>
      <c r="G38" s="42">
        <f>+'11'!K19</f>
        <v>31040.513030072987</v>
      </c>
      <c r="H38" s="15"/>
      <c r="I38" s="21"/>
    </row>
    <row r="39" spans="1:9" x14ac:dyDescent="0.2">
      <c r="A39" s="10"/>
      <c r="B39" s="188"/>
      <c r="C39" s="11"/>
      <c r="D39" s="1811" t="s">
        <v>3038</v>
      </c>
      <c r="E39" s="11"/>
      <c r="F39" s="42">
        <f>+'11'!J22</f>
        <v>3288.1758949</v>
      </c>
      <c r="G39" s="42">
        <f>+'11'!K22</f>
        <v>3419.2373834</v>
      </c>
      <c r="H39" s="15"/>
      <c r="I39" s="21"/>
    </row>
    <row r="40" spans="1:9" x14ac:dyDescent="0.2">
      <c r="A40" s="10"/>
      <c r="B40" s="17"/>
      <c r="C40" s="11" t="s">
        <v>54</v>
      </c>
      <c r="D40" s="10" t="s">
        <v>52</v>
      </c>
      <c r="E40" s="11"/>
      <c r="F40" s="42">
        <f>+'11'!J23</f>
        <v>2.4729597609999985</v>
      </c>
      <c r="G40" s="42">
        <f>+'11'!K23</f>
        <v>4.2940700679999964</v>
      </c>
      <c r="H40" s="15"/>
      <c r="I40" s="21"/>
    </row>
    <row r="41" spans="1:9" x14ac:dyDescent="0.2">
      <c r="A41" s="10"/>
      <c r="B41" s="17"/>
      <c r="C41" s="11" t="s">
        <v>55</v>
      </c>
      <c r="D41" s="10" t="s">
        <v>67</v>
      </c>
      <c r="E41" s="11">
        <v>11</v>
      </c>
      <c r="F41" s="42">
        <f>+'12'!D27</f>
        <v>7195.0995504619987</v>
      </c>
      <c r="G41" s="42">
        <f>+'12'!E27</f>
        <v>5793.8387556899979</v>
      </c>
      <c r="H41" s="15"/>
      <c r="I41" s="21"/>
    </row>
    <row r="42" spans="1:9" x14ac:dyDescent="0.2">
      <c r="A42" s="10"/>
      <c r="B42" s="17"/>
      <c r="C42" s="11" t="s">
        <v>56</v>
      </c>
      <c r="D42" s="10" t="s">
        <v>41</v>
      </c>
      <c r="E42" s="11"/>
      <c r="F42" s="42">
        <f>+'12'!D28</f>
        <v>642.07934182600002</v>
      </c>
      <c r="G42" s="42">
        <f>+'12'!E28</f>
        <v>574.16186102100005</v>
      </c>
      <c r="H42" s="15"/>
      <c r="I42" s="21"/>
    </row>
    <row r="43" spans="1:9" x14ac:dyDescent="0.2">
      <c r="A43" s="10"/>
      <c r="B43" s="11" t="s">
        <v>21</v>
      </c>
      <c r="C43" s="10" t="s">
        <v>91</v>
      </c>
      <c r="D43" s="10"/>
      <c r="E43" s="11">
        <v>12</v>
      </c>
      <c r="F43" s="42">
        <f>+'14'!D10</f>
        <v>156.605094904</v>
      </c>
      <c r="G43" s="42">
        <f>+'14'!E10</f>
        <v>93.597134200000013</v>
      </c>
      <c r="H43" s="15"/>
      <c r="I43" s="21"/>
    </row>
    <row r="44" spans="1:9" x14ac:dyDescent="0.2">
      <c r="A44" s="10"/>
      <c r="B44" s="11" t="s">
        <v>22</v>
      </c>
      <c r="C44" s="10" t="s">
        <v>102</v>
      </c>
      <c r="D44" s="10"/>
      <c r="E44" s="11"/>
      <c r="F44" s="42"/>
      <c r="G44" s="42"/>
      <c r="H44" s="15"/>
      <c r="I44" s="21"/>
    </row>
    <row r="45" spans="1:9" x14ac:dyDescent="0.2">
      <c r="A45" s="10"/>
      <c r="B45" s="11" t="s">
        <v>43</v>
      </c>
      <c r="C45" s="10" t="s">
        <v>42</v>
      </c>
      <c r="D45" s="10"/>
      <c r="E45" s="11"/>
      <c r="F45" s="42"/>
      <c r="G45" s="42"/>
      <c r="H45" s="15"/>
      <c r="I45" s="21"/>
    </row>
    <row r="46" spans="1:9" x14ac:dyDescent="0.2">
      <c r="A46" s="10"/>
      <c r="B46" s="11" t="s">
        <v>45</v>
      </c>
      <c r="C46" s="1876" t="s">
        <v>3043</v>
      </c>
      <c r="D46" s="1877"/>
      <c r="E46" s="11"/>
      <c r="F46" s="42">
        <f>+'13'!D21</f>
        <v>4340.3346837788831</v>
      </c>
      <c r="G46" s="42">
        <f>+'13'!E21</f>
        <v>0</v>
      </c>
      <c r="H46" s="15"/>
      <c r="I46" s="21"/>
    </row>
    <row r="47" spans="1:9" x14ac:dyDescent="0.2">
      <c r="A47" s="10"/>
      <c r="B47" s="11" t="s">
        <v>46</v>
      </c>
      <c r="C47" s="10" t="s">
        <v>44</v>
      </c>
      <c r="D47" s="10"/>
      <c r="E47" s="11"/>
      <c r="F47" s="42">
        <f>+'13'!D44</f>
        <v>748.92926908000038</v>
      </c>
      <c r="G47" s="42">
        <f>+'13'!E44</f>
        <v>621.92883314599987</v>
      </c>
      <c r="H47" s="15"/>
      <c r="I47" s="21"/>
    </row>
    <row r="48" spans="1:9" x14ac:dyDescent="0.2">
      <c r="A48" s="11"/>
      <c r="B48" s="11"/>
      <c r="C48" s="11"/>
      <c r="D48" s="17"/>
      <c r="E48" s="11">
        <v>13</v>
      </c>
      <c r="F48" s="18"/>
      <c r="G48" s="18"/>
      <c r="H48" s="15"/>
      <c r="I48" s="21"/>
    </row>
    <row r="49" spans="1:9" x14ac:dyDescent="0.2">
      <c r="A49" s="8">
        <v>2</v>
      </c>
      <c r="B49" s="9" t="s">
        <v>92</v>
      </c>
      <c r="C49" s="8"/>
      <c r="D49" s="10"/>
      <c r="E49" s="11">
        <v>14</v>
      </c>
      <c r="F49" s="16"/>
      <c r="G49" s="16"/>
      <c r="H49" s="15"/>
      <c r="I49" s="21"/>
    </row>
    <row r="50" spans="1:9" x14ac:dyDescent="0.2">
      <c r="A50" s="10"/>
      <c r="B50" s="11" t="s">
        <v>20</v>
      </c>
      <c r="C50" s="10" t="s">
        <v>93</v>
      </c>
      <c r="D50" s="10"/>
      <c r="E50" s="11"/>
      <c r="F50" s="16"/>
      <c r="G50" s="16"/>
      <c r="H50" s="15"/>
      <c r="I50" s="21"/>
    </row>
    <row r="51" spans="1:9" x14ac:dyDescent="0.2">
      <c r="A51" s="10"/>
      <c r="B51" s="11" t="s">
        <v>21</v>
      </c>
      <c r="C51" s="10" t="s">
        <v>23</v>
      </c>
      <c r="D51" s="10"/>
      <c r="E51" s="11">
        <v>15</v>
      </c>
      <c r="F51" s="42">
        <f>+'15'!D27</f>
        <v>2943.5795060349997</v>
      </c>
      <c r="G51" s="42">
        <f>+'15'!E27</f>
        <v>2114.7825896700001</v>
      </c>
      <c r="H51" s="15"/>
      <c r="I51" s="21"/>
    </row>
    <row r="52" spans="1:9" x14ac:dyDescent="0.2">
      <c r="A52" s="10"/>
      <c r="B52" s="11" t="s">
        <v>22</v>
      </c>
      <c r="C52" s="10" t="s">
        <v>94</v>
      </c>
      <c r="D52" s="10"/>
      <c r="E52" s="11">
        <v>16</v>
      </c>
      <c r="F52" s="42">
        <f>+'16 &amp; 17'!D24</f>
        <v>26924.051353812123</v>
      </c>
      <c r="G52" s="42">
        <f>+'16 &amp; 17'!E24</f>
        <v>31567.394643867003</v>
      </c>
      <c r="H52" s="15"/>
      <c r="I52" s="21"/>
    </row>
    <row r="53" spans="1:9" x14ac:dyDescent="0.2">
      <c r="A53" s="10"/>
      <c r="B53" s="11" t="s">
        <v>43</v>
      </c>
      <c r="C53" s="10" t="s">
        <v>136</v>
      </c>
      <c r="D53" s="10"/>
      <c r="E53" s="11">
        <v>17</v>
      </c>
      <c r="F53" s="42">
        <f>+'16 &amp; 17'!D33</f>
        <v>6.8494287649999981</v>
      </c>
      <c r="G53" s="42">
        <f>+'16 &amp; 17'!E33</f>
        <v>263.67808044699996</v>
      </c>
      <c r="H53" s="15"/>
      <c r="I53" s="21"/>
    </row>
    <row r="54" spans="1:9" x14ac:dyDescent="0.2">
      <c r="A54" s="10"/>
      <c r="B54" s="11" t="s">
        <v>45</v>
      </c>
      <c r="C54" s="10" t="s">
        <v>47</v>
      </c>
      <c r="D54" s="10"/>
      <c r="E54" s="11">
        <v>18</v>
      </c>
      <c r="F54" s="42">
        <f>+'18'!D12</f>
        <v>1.8876684990000001</v>
      </c>
      <c r="G54" s="42">
        <f>+'18'!E12</f>
        <v>1.781401367</v>
      </c>
      <c r="H54" s="15"/>
      <c r="I54" s="21"/>
    </row>
    <row r="55" spans="1:9" x14ac:dyDescent="0.2">
      <c r="A55" s="10"/>
      <c r="B55" s="11" t="s">
        <v>46</v>
      </c>
      <c r="C55" s="1876" t="s">
        <v>3039</v>
      </c>
      <c r="D55" s="1877"/>
      <c r="E55" s="11">
        <v>19</v>
      </c>
      <c r="F55" s="42">
        <f>+'19'!D18</f>
        <v>541.29224783999996</v>
      </c>
      <c r="G55" s="42">
        <f>+'19'!E18</f>
        <v>326.40493493700001</v>
      </c>
      <c r="H55" s="15"/>
      <c r="I55" s="21"/>
    </row>
    <row r="56" spans="1:9" x14ac:dyDescent="0.2">
      <c r="A56" s="10"/>
      <c r="B56" s="11" t="s">
        <v>3040</v>
      </c>
      <c r="C56" s="10" t="s">
        <v>95</v>
      </c>
      <c r="D56" s="10"/>
      <c r="E56" s="11">
        <v>19</v>
      </c>
      <c r="F56" s="42">
        <f>+'19'!D26</f>
        <v>806.63905627399993</v>
      </c>
      <c r="G56" s="42">
        <f>+'19'!E26</f>
        <v>905.532191356</v>
      </c>
      <c r="H56" s="15"/>
      <c r="I56" s="21"/>
    </row>
    <row r="57" spans="1:9" x14ac:dyDescent="0.2">
      <c r="A57" s="10"/>
      <c r="B57" s="11" t="s">
        <v>3041</v>
      </c>
      <c r="C57" s="1876" t="s">
        <v>3042</v>
      </c>
      <c r="D57" s="1877"/>
      <c r="E57" s="11"/>
      <c r="F57" s="42">
        <f>+'19'!D32</f>
        <v>42.187014742999907</v>
      </c>
      <c r="G57" s="42">
        <f>+'19'!E32</f>
        <v>119.54817991200002</v>
      </c>
      <c r="H57" s="15"/>
      <c r="I57" s="21"/>
    </row>
    <row r="58" spans="1:9" x14ac:dyDescent="0.2">
      <c r="A58" s="9"/>
      <c r="B58" s="9"/>
      <c r="C58" s="9"/>
      <c r="D58" s="24" t="s">
        <v>7</v>
      </c>
      <c r="E58" s="11"/>
      <c r="F58" s="1812">
        <f>SUM(F38:F57)</f>
        <v>76893.569993018988</v>
      </c>
      <c r="G58" s="1812">
        <f>SUM(G38:G57)</f>
        <v>76846.693089153996</v>
      </c>
      <c r="H58" s="19"/>
      <c r="I58" s="21"/>
    </row>
    <row r="59" spans="1:9" x14ac:dyDescent="0.2">
      <c r="A59" s="10"/>
      <c r="C59" s="9"/>
      <c r="D59" s="9"/>
      <c r="E59" s="11"/>
      <c r="F59" s="9"/>
      <c r="G59" s="9"/>
      <c r="H59" s="15"/>
      <c r="I59" s="21"/>
    </row>
    <row r="60" spans="1:9" x14ac:dyDescent="0.2">
      <c r="A60" s="10"/>
      <c r="B60" s="9" t="s">
        <v>81</v>
      </c>
      <c r="C60" s="9"/>
      <c r="D60" s="9"/>
      <c r="E60" s="9"/>
      <c r="F60" s="9"/>
      <c r="G60" s="9"/>
      <c r="H60" s="25"/>
      <c r="I60" s="23"/>
    </row>
    <row r="61" spans="1:9" x14ac:dyDescent="0.2">
      <c r="A61" s="10"/>
      <c r="B61" s="10"/>
      <c r="C61" s="10"/>
      <c r="D61" s="10"/>
      <c r="E61" s="11"/>
      <c r="F61" s="11"/>
      <c r="G61" s="10"/>
    </row>
    <row r="62" spans="1:9" x14ac:dyDescent="0.2">
      <c r="A62" s="10"/>
      <c r="B62" s="9" t="s">
        <v>163</v>
      </c>
      <c r="C62" s="10"/>
      <c r="D62" s="10"/>
      <c r="E62" s="11"/>
      <c r="F62" s="11"/>
      <c r="G62" s="10"/>
    </row>
    <row r="63" spans="1:9" x14ac:dyDescent="0.2">
      <c r="A63" s="27"/>
      <c r="B63" s="27"/>
      <c r="C63" s="27"/>
      <c r="D63" s="27"/>
      <c r="E63" s="30"/>
      <c r="F63" s="30">
        <f>+F34-F58</f>
        <v>1.2350035831332207E-5</v>
      </c>
      <c r="G63" s="30">
        <f>+G34-G58</f>
        <v>4.5364000834524632E-4</v>
      </c>
    </row>
    <row r="64" spans="1:9" x14ac:dyDescent="0.2">
      <c r="A64" s="1872" t="s">
        <v>381</v>
      </c>
      <c r="B64" s="1872"/>
      <c r="C64" s="1872"/>
      <c r="D64" s="1872"/>
      <c r="E64" s="1872"/>
      <c r="F64" s="1872"/>
    </row>
  </sheetData>
  <mergeCells count="7">
    <mergeCell ref="A64:F64"/>
    <mergeCell ref="A7:G7"/>
    <mergeCell ref="B10:D10"/>
    <mergeCell ref="C2:G2"/>
    <mergeCell ref="C55:D55"/>
    <mergeCell ref="C57:D57"/>
    <mergeCell ref="C46:D46"/>
  </mergeCells>
  <printOptions horizontalCentered="1"/>
  <pageMargins left="0.78740157480314965" right="0.39370078740157483" top="0.19685039370078741" bottom="0.19685039370078741" header="0.31496062992125984" footer="0.31496062992125984"/>
  <pageSetup paperSize="9" scale="7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2:H47"/>
  <sheetViews>
    <sheetView showGridLines="0" view="pageBreakPreview" topLeftCell="A4" zoomScaleNormal="115" zoomScaleSheetLayoutView="100" workbookViewId="0">
      <selection activeCell="E23" sqref="E23"/>
    </sheetView>
  </sheetViews>
  <sheetFormatPr defaultColWidth="9.140625" defaultRowHeight="15" x14ac:dyDescent="0.2"/>
  <cols>
    <col min="1" max="1" width="7.7109375" style="72" bestFit="1" customWidth="1"/>
    <col min="2" max="2" width="36.140625" style="72" customWidth="1"/>
    <col min="3" max="3" width="13.42578125" style="72" customWidth="1"/>
    <col min="4" max="5" width="21.140625" style="72" customWidth="1"/>
    <col min="6" max="6" width="14.85546875" style="72" bestFit="1" customWidth="1"/>
    <col min="7" max="7" width="14" style="72" bestFit="1" customWidth="1"/>
    <col min="8" max="8" width="13.85546875" style="72" bestFit="1" customWidth="1"/>
    <col min="9" max="16384" width="9.140625" style="72"/>
  </cols>
  <sheetData>
    <row r="2" spans="1:5" x14ac:dyDescent="0.2">
      <c r="A2" s="1875" t="s">
        <v>377</v>
      </c>
      <c r="B2" s="1875"/>
      <c r="C2" s="1875"/>
      <c r="D2" s="1875"/>
      <c r="E2" s="1875"/>
    </row>
    <row r="3" spans="1:5" x14ac:dyDescent="0.2">
      <c r="C3" s="1" t="s">
        <v>294</v>
      </c>
    </row>
    <row r="4" spans="1:5" x14ac:dyDescent="0.2">
      <c r="C4" s="77"/>
    </row>
    <row r="5" spans="1:5" x14ac:dyDescent="0.2">
      <c r="A5" s="93" t="s">
        <v>143</v>
      </c>
      <c r="B5" s="93"/>
      <c r="C5" s="93"/>
      <c r="D5" s="93"/>
      <c r="E5" s="93"/>
    </row>
    <row r="6" spans="1:5" x14ac:dyDescent="0.2">
      <c r="A6" s="93"/>
      <c r="B6" s="93"/>
      <c r="C6" s="93"/>
      <c r="D6" s="93"/>
      <c r="E6" s="93"/>
    </row>
    <row r="7" spans="1:5" ht="42.75" x14ac:dyDescent="0.2">
      <c r="A7" s="1885" t="s">
        <v>5</v>
      </c>
      <c r="B7" s="1885" t="s">
        <v>6</v>
      </c>
      <c r="C7" s="1874" t="s">
        <v>26</v>
      </c>
      <c r="D7" s="190" t="s">
        <v>149</v>
      </c>
      <c r="E7" s="190" t="s">
        <v>150</v>
      </c>
    </row>
    <row r="8" spans="1:5" x14ac:dyDescent="0.2">
      <c r="A8" s="1885"/>
      <c r="B8" s="1885"/>
      <c r="C8" s="1874"/>
      <c r="D8" s="185" t="s">
        <v>1</v>
      </c>
      <c r="E8" s="185" t="s">
        <v>1</v>
      </c>
    </row>
    <row r="9" spans="1:5" x14ac:dyDescent="0.2">
      <c r="A9" s="86"/>
      <c r="B9" s="169"/>
      <c r="C9" s="147"/>
      <c r="D9" s="14"/>
      <c r="E9" s="14"/>
    </row>
    <row r="10" spans="1:5" x14ac:dyDescent="0.2">
      <c r="A10" s="86"/>
      <c r="B10" s="169" t="s">
        <v>609</v>
      </c>
      <c r="C10" s="147"/>
      <c r="D10" s="42">
        <f>+'BalanceSheet and P&amp;L 23-24'!D236</f>
        <v>5.2565079959999998</v>
      </c>
      <c r="E10" s="42">
        <v>3.9865038089999998</v>
      </c>
    </row>
    <row r="11" spans="1:5" x14ac:dyDescent="0.2">
      <c r="A11" s="86"/>
      <c r="B11" s="82" t="s">
        <v>610</v>
      </c>
      <c r="C11" s="147"/>
      <c r="D11" s="42">
        <f>+'BalanceSheet and P&amp;L 23-24'!D237</f>
        <v>0.88386330000000002</v>
      </c>
      <c r="E11" s="42">
        <f>+'BalanceSheet and P&amp;L 23-24'!E237</f>
        <v>2.940679668</v>
      </c>
    </row>
    <row r="12" spans="1:5" x14ac:dyDescent="0.2">
      <c r="A12" s="86"/>
      <c r="B12" s="169" t="s">
        <v>3037</v>
      </c>
      <c r="C12" s="147"/>
      <c r="D12" s="42">
        <f>+'BalanceSheet and P&amp;L 23-24'!D246</f>
        <v>26.153931013999998</v>
      </c>
      <c r="E12" s="42">
        <v>27.608270213999997</v>
      </c>
    </row>
    <row r="13" spans="1:5" x14ac:dyDescent="0.2">
      <c r="A13" s="86"/>
      <c r="B13" s="169" t="s">
        <v>611</v>
      </c>
      <c r="C13" s="147"/>
      <c r="D13" s="42">
        <f>+'BalanceSheet and P&amp;L 23-24'!D238</f>
        <v>237.73336224599998</v>
      </c>
      <c r="E13" s="42">
        <v>110.951158273</v>
      </c>
    </row>
    <row r="14" spans="1:5" x14ac:dyDescent="0.2">
      <c r="A14" s="86"/>
      <c r="B14" s="82" t="s">
        <v>1031</v>
      </c>
      <c r="C14" s="147"/>
      <c r="D14" s="42">
        <f>+'BalanceSheet and P&amp;L 23-24'!D239</f>
        <v>214.34562678399999</v>
      </c>
      <c r="E14" s="42">
        <v>15.470166000000001</v>
      </c>
    </row>
    <row r="15" spans="1:5" x14ac:dyDescent="0.2">
      <c r="A15" s="86"/>
      <c r="B15" s="82" t="s">
        <v>613</v>
      </c>
      <c r="C15" s="147"/>
      <c r="D15" s="42">
        <f>+'BalanceSheet and P&amp;L 23-24'!D240</f>
        <v>9.9999999999999995E-8</v>
      </c>
      <c r="E15" s="42">
        <f>+'BalanceSheet and P&amp;L 23-24'!E240</f>
        <v>1.7416499999999999</v>
      </c>
    </row>
    <row r="16" spans="1:5" x14ac:dyDescent="0.2">
      <c r="A16" s="86"/>
      <c r="B16" s="169" t="s">
        <v>3036</v>
      </c>
      <c r="C16" s="147"/>
      <c r="D16" s="42">
        <f>+'BalanceSheet and P&amp;L 23-24'!D241</f>
        <v>56.918956399999999</v>
      </c>
      <c r="E16" s="42">
        <v>163.70650697299999</v>
      </c>
    </row>
    <row r="17" spans="1:5" x14ac:dyDescent="0.2">
      <c r="A17" s="86"/>
      <c r="B17" s="82"/>
      <c r="C17" s="147"/>
      <c r="D17" s="14"/>
      <c r="E17" s="14"/>
    </row>
    <row r="18" spans="1:5" x14ac:dyDescent="0.2">
      <c r="A18" s="86"/>
      <c r="B18" s="88" t="s">
        <v>1913</v>
      </c>
      <c r="C18" s="147"/>
      <c r="D18" s="1812">
        <f>SUM(D10:D17)</f>
        <v>541.29224783999996</v>
      </c>
      <c r="E18" s="1812">
        <f>SUM(E10:E17)</f>
        <v>326.40493493700001</v>
      </c>
    </row>
    <row r="19" spans="1:5" x14ac:dyDescent="0.2">
      <c r="A19" s="86"/>
      <c r="B19" s="82"/>
      <c r="C19" s="147"/>
      <c r="D19" s="14"/>
      <c r="E19" s="14"/>
    </row>
    <row r="20" spans="1:5" x14ac:dyDescent="0.2">
      <c r="A20" s="86"/>
      <c r="B20" s="169" t="s">
        <v>616</v>
      </c>
      <c r="C20" s="147"/>
      <c r="D20" s="42">
        <f>+'BalanceSheet and P&amp;L 23-24'!D245</f>
        <v>37.949311001999995</v>
      </c>
      <c r="E20" s="42">
        <f>+'BalanceSheet and P&amp;L 23-24'!E245</f>
        <v>35.312575172000003</v>
      </c>
    </row>
    <row r="21" spans="1:5" x14ac:dyDescent="0.2">
      <c r="A21" s="86"/>
      <c r="B21" s="169" t="s">
        <v>618</v>
      </c>
      <c r="C21" s="147"/>
      <c r="D21" s="42">
        <f>+'BalanceSheet and P&amp;L 23-24'!D247</f>
        <v>294.62884841399995</v>
      </c>
      <c r="E21" s="42">
        <f>+'BalanceSheet and P&amp;L 23-24'!E247</f>
        <v>408.85345701</v>
      </c>
    </row>
    <row r="22" spans="1:5" x14ac:dyDescent="0.2">
      <c r="A22" s="86"/>
      <c r="B22" s="169" t="s">
        <v>575</v>
      </c>
      <c r="C22" s="147"/>
      <c r="D22" s="42">
        <f>+'BalanceSheet and P&amp;L 23-24'!D248</f>
        <v>474.06089685799998</v>
      </c>
      <c r="E22" s="42">
        <f>+'BalanceSheet and P&amp;L 23-24'!E248</f>
        <v>461.36615917400002</v>
      </c>
    </row>
    <row r="23" spans="1:5" x14ac:dyDescent="0.2">
      <c r="A23" s="86"/>
      <c r="B23" s="169" t="s">
        <v>3078</v>
      </c>
      <c r="C23" s="147"/>
      <c r="D23" s="42"/>
      <c r="E23" s="42">
        <v>183.68105705100001</v>
      </c>
    </row>
    <row r="24" spans="1:5" x14ac:dyDescent="0.2">
      <c r="A24" s="86"/>
      <c r="B24" s="169" t="s">
        <v>572</v>
      </c>
      <c r="C24" s="147"/>
      <c r="D24" s="42"/>
      <c r="E24" s="42">
        <v>-183.68105705100001</v>
      </c>
    </row>
    <row r="25" spans="1:5" x14ac:dyDescent="0.2">
      <c r="A25" s="86"/>
      <c r="B25" s="82"/>
      <c r="C25" s="147"/>
      <c r="D25" s="42"/>
      <c r="E25" s="42"/>
    </row>
    <row r="26" spans="1:5" x14ac:dyDescent="0.2">
      <c r="A26" s="86"/>
      <c r="B26" s="88" t="s">
        <v>1913</v>
      </c>
      <c r="C26" s="147"/>
      <c r="D26" s="1812">
        <f>SUM(D20:D25)</f>
        <v>806.63905627399993</v>
      </c>
      <c r="E26" s="1812">
        <f>SUM(E20:E25)</f>
        <v>905.532191356</v>
      </c>
    </row>
    <row r="27" spans="1:5" x14ac:dyDescent="0.2">
      <c r="A27" s="86"/>
      <c r="B27" s="82"/>
      <c r="C27" s="147"/>
      <c r="D27" s="14"/>
      <c r="E27" s="14"/>
    </row>
    <row r="28" spans="1:5" x14ac:dyDescent="0.2">
      <c r="A28" s="86"/>
      <c r="B28" s="82" t="s">
        <v>7</v>
      </c>
      <c r="C28" s="147"/>
      <c r="D28" s="1812">
        <f>+D26+D18</f>
        <v>1347.9313041139999</v>
      </c>
      <c r="E28" s="1812">
        <f>+E26+E18</f>
        <v>1231.9371262929999</v>
      </c>
    </row>
    <row r="29" spans="1:5" x14ac:dyDescent="0.2">
      <c r="A29" s="86"/>
      <c r="B29" s="82"/>
      <c r="C29" s="147"/>
      <c r="D29" s="14"/>
      <c r="E29" s="14"/>
    </row>
    <row r="30" spans="1:5" x14ac:dyDescent="0.2">
      <c r="A30" s="86"/>
      <c r="B30" s="82"/>
      <c r="C30" s="147"/>
      <c r="D30" s="14"/>
      <c r="E30" s="14"/>
    </row>
    <row r="31" spans="1:5" x14ac:dyDescent="0.2">
      <c r="A31" s="86"/>
      <c r="B31" s="89" t="s">
        <v>423</v>
      </c>
      <c r="C31" s="147"/>
      <c r="D31" s="14"/>
      <c r="E31" s="14"/>
    </row>
    <row r="32" spans="1:5" x14ac:dyDescent="0.2">
      <c r="A32" s="86"/>
      <c r="B32" s="89" t="s">
        <v>424</v>
      </c>
      <c r="C32" s="147"/>
      <c r="D32" s="1812">
        <f>+'BalanceSheet and P&amp;L 23-24'!D28</f>
        <v>42.187014742999907</v>
      </c>
      <c r="E32" s="1812">
        <f>+'BalanceSheet and P&amp;L 23-24'!E28</f>
        <v>119.54817991200002</v>
      </c>
    </row>
    <row r="33" spans="1:8" x14ac:dyDescent="0.2">
      <c r="A33" s="86"/>
      <c r="B33" s="82"/>
      <c r="C33" s="147"/>
      <c r="D33" s="14"/>
      <c r="E33" s="14"/>
    </row>
    <row r="34" spans="1:8" x14ac:dyDescent="0.2">
      <c r="A34" s="86"/>
      <c r="B34" s="82"/>
      <c r="C34" s="147"/>
      <c r="D34" s="14"/>
      <c r="E34" s="14"/>
    </row>
    <row r="35" spans="1:8" x14ac:dyDescent="0.2">
      <c r="A35" s="86"/>
      <c r="B35" s="82"/>
      <c r="C35" s="147"/>
      <c r="D35" s="14"/>
      <c r="E35" s="14"/>
    </row>
    <row r="36" spans="1:8" x14ac:dyDescent="0.2">
      <c r="A36" s="86"/>
      <c r="B36" s="82"/>
      <c r="C36" s="147"/>
      <c r="D36" s="14"/>
      <c r="E36" s="14"/>
    </row>
    <row r="37" spans="1:8" x14ac:dyDescent="0.2">
      <c r="A37" s="86"/>
      <c r="B37" s="82"/>
      <c r="C37" s="147"/>
      <c r="D37" s="14"/>
      <c r="E37" s="14"/>
    </row>
    <row r="38" spans="1:8" x14ac:dyDescent="0.2">
      <c r="A38" s="86"/>
      <c r="B38" s="82"/>
      <c r="C38" s="147"/>
      <c r="D38" s="14"/>
      <c r="E38" s="14"/>
    </row>
    <row r="39" spans="1:8" x14ac:dyDescent="0.2">
      <c r="A39" s="86"/>
      <c r="B39" s="82"/>
      <c r="C39" s="147"/>
      <c r="D39" s="14"/>
      <c r="E39" s="14"/>
    </row>
    <row r="40" spans="1:8" x14ac:dyDescent="0.2">
      <c r="A40" s="86"/>
      <c r="B40" s="82"/>
      <c r="C40" s="147"/>
      <c r="D40" s="14"/>
      <c r="E40" s="14"/>
    </row>
    <row r="41" spans="1:8" x14ac:dyDescent="0.2">
      <c r="A41" s="86"/>
      <c r="B41" s="82"/>
      <c r="C41" s="147"/>
      <c r="D41" s="14"/>
      <c r="E41" s="14"/>
    </row>
    <row r="42" spans="1:8" x14ac:dyDescent="0.2">
      <c r="A42" s="86"/>
      <c r="B42" s="82"/>
      <c r="C42" s="141"/>
      <c r="D42" s="14"/>
      <c r="E42" s="14"/>
    </row>
    <row r="43" spans="1:8" x14ac:dyDescent="0.2">
      <c r="A43" s="86"/>
      <c r="B43" s="169"/>
      <c r="C43" s="147"/>
      <c r="D43" s="18"/>
      <c r="E43" s="18"/>
      <c r="H43" s="64"/>
    </row>
    <row r="44" spans="1:8" x14ac:dyDescent="0.2">
      <c r="A44" s="86"/>
      <c r="B44" s="82"/>
      <c r="C44" s="82"/>
      <c r="D44" s="82"/>
      <c r="E44" s="82"/>
    </row>
    <row r="47" spans="1:8" x14ac:dyDescent="0.2">
      <c r="A47" s="221" t="s">
        <v>379</v>
      </c>
      <c r="B47" s="3" t="s">
        <v>321</v>
      </c>
    </row>
  </sheetData>
  <mergeCells count="4">
    <mergeCell ref="A7:A8"/>
    <mergeCell ref="B7:B8"/>
    <mergeCell ref="C7:C8"/>
    <mergeCell ref="A2:E2"/>
  </mergeCells>
  <printOptions horizontalCentered="1"/>
  <pageMargins left="0.78740157480314965" right="0.39370078740157483" top="0.78740157480314965" bottom="0.19685039370078741"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F66"/>
  <sheetViews>
    <sheetView showGridLines="0" view="pageBreakPreview" topLeftCell="A7" zoomScaleSheetLayoutView="100" workbookViewId="0">
      <selection activeCell="D17" sqref="D17"/>
    </sheetView>
  </sheetViews>
  <sheetFormatPr defaultColWidth="9.140625" defaultRowHeight="15" x14ac:dyDescent="0.2"/>
  <cols>
    <col min="1" max="1" width="7.7109375" style="72" customWidth="1"/>
    <col min="2" max="2" width="36.7109375" style="72" customWidth="1"/>
    <col min="3" max="3" width="10.42578125" style="72" customWidth="1"/>
    <col min="4" max="4" width="22.7109375" style="72" customWidth="1"/>
    <col min="5" max="5" width="22.85546875" style="72" customWidth="1"/>
    <col min="6" max="6" width="15" style="72" bestFit="1" customWidth="1"/>
    <col min="7" max="7" width="11.140625" style="72" bestFit="1" customWidth="1"/>
    <col min="8" max="9" width="13.85546875" style="72" bestFit="1" customWidth="1"/>
    <col min="10" max="10" width="11.140625" style="72" bestFit="1" customWidth="1"/>
    <col min="11" max="16384" width="9.140625" style="72"/>
  </cols>
  <sheetData>
    <row r="2" spans="1:6" x14ac:dyDescent="0.2">
      <c r="A2" s="1875" t="s">
        <v>377</v>
      </c>
      <c r="B2" s="1875"/>
      <c r="C2" s="1875"/>
      <c r="D2" s="1875"/>
      <c r="E2" s="1875"/>
    </row>
    <row r="3" spans="1:6" x14ac:dyDescent="0.2">
      <c r="C3" s="1" t="s">
        <v>294</v>
      </c>
    </row>
    <row r="5" spans="1:6" x14ac:dyDescent="0.2">
      <c r="A5" s="1887" t="s">
        <v>144</v>
      </c>
      <c r="B5" s="1887"/>
      <c r="C5" s="1887"/>
      <c r="D5" s="1887"/>
      <c r="E5" s="1887"/>
    </row>
    <row r="6" spans="1:6" x14ac:dyDescent="0.2">
      <c r="A6" s="222"/>
      <c r="B6" s="222"/>
      <c r="C6" s="222"/>
      <c r="D6" s="222"/>
      <c r="E6" s="222"/>
    </row>
    <row r="7" spans="1:6" ht="42.75" x14ac:dyDescent="0.2">
      <c r="A7" s="1874" t="s">
        <v>5</v>
      </c>
      <c r="B7" s="1885" t="s">
        <v>6</v>
      </c>
      <c r="C7" s="1874" t="s">
        <v>17</v>
      </c>
      <c r="D7" s="190" t="s">
        <v>149</v>
      </c>
      <c r="E7" s="190" t="s">
        <v>150</v>
      </c>
      <c r="F7" s="75"/>
    </row>
    <row r="8" spans="1:6" x14ac:dyDescent="0.2">
      <c r="A8" s="1874"/>
      <c r="B8" s="1885"/>
      <c r="C8" s="1874"/>
      <c r="D8" s="185" t="s">
        <v>1</v>
      </c>
      <c r="E8" s="185" t="s">
        <v>1</v>
      </c>
    </row>
    <row r="9" spans="1:6" x14ac:dyDescent="0.2">
      <c r="A9" s="86"/>
      <c r="B9" s="10"/>
      <c r="C9" s="153"/>
      <c r="D9" s="14"/>
      <c r="E9" s="14"/>
    </row>
    <row r="10" spans="1:6" x14ac:dyDescent="0.2">
      <c r="A10" s="86"/>
      <c r="B10" s="82" t="s">
        <v>3045</v>
      </c>
      <c r="C10" s="153"/>
      <c r="D10" s="42">
        <f>+'BalanceSheet and P&amp;L 23-24'!D357</f>
        <v>30598.490336609007</v>
      </c>
      <c r="E10" s="42">
        <f>+'BalanceSheet and P&amp;L 23-24'!E357</f>
        <v>24105.460510142002</v>
      </c>
    </row>
    <row r="11" spans="1:6" x14ac:dyDescent="0.2">
      <c r="A11" s="86"/>
      <c r="B11" s="82" t="s">
        <v>3047</v>
      </c>
      <c r="C11" s="153"/>
      <c r="D11" s="42">
        <f>+'BalanceSheet and P&amp;L 23-24'!D358</f>
        <v>-925.14309129899993</v>
      </c>
      <c r="E11" s="42">
        <f>+'BalanceSheet and P&amp;L 23-24'!E358</f>
        <v>4782.3322485070003</v>
      </c>
    </row>
    <row r="12" spans="1:6" x14ac:dyDescent="0.2">
      <c r="A12" s="86"/>
      <c r="B12" s="1820" t="s">
        <v>3046</v>
      </c>
      <c r="C12" s="153"/>
      <c r="D12" s="42"/>
      <c r="E12" s="42"/>
    </row>
    <row r="13" spans="1:6" x14ac:dyDescent="0.2">
      <c r="A13" s="86"/>
      <c r="B13" s="82" t="s">
        <v>691</v>
      </c>
      <c r="C13" s="153"/>
      <c r="D13" s="42">
        <f>+'BalanceSheet and P&amp;L 23-24'!D362</f>
        <v>184.70916178499999</v>
      </c>
      <c r="E13" s="42">
        <f>+'BalanceSheet and P&amp;L 23-24'!E362</f>
        <v>117.87754211099998</v>
      </c>
    </row>
    <row r="14" spans="1:6" x14ac:dyDescent="0.2">
      <c r="A14" s="86"/>
      <c r="B14" s="82" t="s">
        <v>701</v>
      </c>
      <c r="C14" s="153"/>
      <c r="D14" s="42">
        <f>+'BalanceSheet and P&amp;L 23-24'!D376</f>
        <v>144.66125667700001</v>
      </c>
      <c r="E14" s="42">
        <v>1.536765613</v>
      </c>
    </row>
    <row r="15" spans="1:6" x14ac:dyDescent="0.2">
      <c r="A15" s="86"/>
      <c r="B15" s="82" t="s">
        <v>692</v>
      </c>
      <c r="C15" s="153"/>
      <c r="D15" s="42">
        <f>+'BalanceSheet and P&amp;L 23-24'!D363</f>
        <v>218.563669616</v>
      </c>
      <c r="E15" s="42">
        <f>+'BalanceSheet and P&amp;L 23-24'!E363</f>
        <v>116.40306378199999</v>
      </c>
    </row>
    <row r="16" spans="1:6" x14ac:dyDescent="0.2">
      <c r="A16" s="86"/>
      <c r="B16" s="82" t="s">
        <v>1966</v>
      </c>
      <c r="C16" s="153"/>
      <c r="D16" s="42">
        <f>+'BalanceSheet and P&amp;L 23-24'!D364</f>
        <v>126.337748955</v>
      </c>
      <c r="E16" s="42">
        <f>+'BalanceSheet and P&amp;L 23-24'!E364</f>
        <v>70.290000000000006</v>
      </c>
    </row>
    <row r="17" spans="1:5" x14ac:dyDescent="0.2">
      <c r="A17" s="86"/>
      <c r="B17" s="82" t="s">
        <v>694</v>
      </c>
      <c r="C17" s="153"/>
      <c r="D17" s="42">
        <f>+'BalanceSheet and P&amp;L 23-24'!D365</f>
        <v>-126.337748955</v>
      </c>
      <c r="E17" s="42">
        <f>+'BalanceSheet and P&amp;L 23-24'!E365</f>
        <v>-70.290000000000006</v>
      </c>
    </row>
    <row r="18" spans="1:5" x14ac:dyDescent="0.2">
      <c r="A18" s="86"/>
      <c r="B18" s="10"/>
      <c r="C18" s="153"/>
      <c r="D18" s="14"/>
      <c r="E18" s="14"/>
    </row>
    <row r="19" spans="1:5" x14ac:dyDescent="0.2">
      <c r="A19" s="86"/>
      <c r="B19" s="10"/>
      <c r="C19" s="153"/>
      <c r="D19" s="14"/>
      <c r="E19" s="14"/>
    </row>
    <row r="20" spans="1:5" x14ac:dyDescent="0.2">
      <c r="A20" s="86"/>
      <c r="B20" s="1821" t="s">
        <v>7</v>
      </c>
      <c r="C20" s="153"/>
      <c r="D20" s="1812">
        <f>SUM(D10:D17)</f>
        <v>30221.281333388008</v>
      </c>
      <c r="E20" s="1812">
        <f>SUM(E10:E17)</f>
        <v>29123.610130155004</v>
      </c>
    </row>
    <row r="21" spans="1:5" x14ac:dyDescent="0.2">
      <c r="A21" s="86"/>
      <c r="B21" s="170"/>
      <c r="C21" s="153"/>
      <c r="D21" s="14"/>
      <c r="E21" s="14"/>
    </row>
    <row r="22" spans="1:5" x14ac:dyDescent="0.2">
      <c r="A22" s="78"/>
      <c r="B22" s="100"/>
      <c r="C22" s="90"/>
      <c r="D22" s="18"/>
      <c r="E22" s="18"/>
    </row>
    <row r="24" spans="1:5" x14ac:dyDescent="0.2">
      <c r="A24" s="1899" t="s">
        <v>145</v>
      </c>
      <c r="B24" s="1899"/>
      <c r="C24" s="1899"/>
      <c r="D24" s="1899"/>
      <c r="E24" s="1899"/>
    </row>
    <row r="25" spans="1:5" x14ac:dyDescent="0.2">
      <c r="A25" s="224"/>
      <c r="B25" s="224"/>
      <c r="C25" s="224"/>
      <c r="D25" s="224"/>
      <c r="E25" s="224"/>
    </row>
    <row r="26" spans="1:5" ht="42.75" x14ac:dyDescent="0.2">
      <c r="A26" s="1897" t="s">
        <v>15</v>
      </c>
      <c r="B26" s="1898" t="s">
        <v>6</v>
      </c>
      <c r="C26" s="1897" t="s">
        <v>17</v>
      </c>
      <c r="D26" s="190" t="s">
        <v>149</v>
      </c>
      <c r="E26" s="190" t="s">
        <v>150</v>
      </c>
    </row>
    <row r="27" spans="1:5" x14ac:dyDescent="0.2">
      <c r="A27" s="1897"/>
      <c r="B27" s="1898"/>
      <c r="C27" s="1897"/>
      <c r="D27" s="185" t="s">
        <v>1</v>
      </c>
      <c r="E27" s="185" t="s">
        <v>1</v>
      </c>
    </row>
    <row r="28" spans="1:5" x14ac:dyDescent="0.2">
      <c r="A28" s="86">
        <v>1</v>
      </c>
      <c r="B28" s="82" t="s">
        <v>315</v>
      </c>
      <c r="C28" s="171"/>
      <c r="D28" s="42">
        <f>+'BalanceSheet and P&amp;L 23-24'!D374</f>
        <v>5.85865E-2</v>
      </c>
      <c r="E28" s="42">
        <f>+'BalanceSheet and P&amp;L 23-24'!E374</f>
        <v>0.22902478000000004</v>
      </c>
    </row>
    <row r="29" spans="1:5" x14ac:dyDescent="0.2">
      <c r="A29" s="86"/>
      <c r="B29" s="82"/>
      <c r="C29" s="172"/>
      <c r="D29" s="14"/>
      <c r="E29" s="14"/>
    </row>
    <row r="30" spans="1:5" x14ac:dyDescent="0.2">
      <c r="A30" s="86">
        <v>2</v>
      </c>
      <c r="B30" s="82" t="s">
        <v>316</v>
      </c>
      <c r="C30" s="171"/>
      <c r="D30" s="42"/>
      <c r="E30" s="42"/>
    </row>
    <row r="31" spans="1:5" x14ac:dyDescent="0.2">
      <c r="A31" s="86"/>
      <c r="B31" s="82" t="s">
        <v>3049</v>
      </c>
      <c r="C31" s="171"/>
      <c r="D31" s="42">
        <f>+'BalanceSheet and P&amp;L 23-24'!D375</f>
        <v>2674.1801744999998</v>
      </c>
      <c r="E31" s="42">
        <f>+'BalanceSheet and P&amp;L 23-24'!E375</f>
        <v>3949.250313</v>
      </c>
    </row>
    <row r="32" spans="1:5" x14ac:dyDescent="0.2">
      <c r="A32" s="86"/>
      <c r="B32" s="82" t="s">
        <v>702</v>
      </c>
      <c r="C32" s="171"/>
      <c r="D32" s="42">
        <f>+'BalanceSheet and P&amp;L 23-24'!D377</f>
        <v>4.524508934</v>
      </c>
      <c r="E32" s="42">
        <f>+'BalanceSheet and P&amp;L 23-24'!E377</f>
        <v>4.4345818419999992</v>
      </c>
    </row>
    <row r="33" spans="1:5" x14ac:dyDescent="0.2">
      <c r="A33" s="86"/>
      <c r="B33" s="82" t="s">
        <v>1983</v>
      </c>
      <c r="C33" s="171"/>
      <c r="D33" s="42">
        <f>+'BalanceSheet and P&amp;L 23-24'!D378</f>
        <v>21.564345992</v>
      </c>
      <c r="E33" s="42">
        <f>+'BalanceSheet and P&amp;L 23-24'!E378</f>
        <v>31.438449506999998</v>
      </c>
    </row>
    <row r="34" spans="1:5" x14ac:dyDescent="0.2">
      <c r="A34" s="86"/>
      <c r="B34" s="82" t="s">
        <v>704</v>
      </c>
      <c r="C34" s="171"/>
      <c r="D34" s="42">
        <f>+'BalanceSheet and P&amp;L 23-24'!D379</f>
        <v>7.0211863999999999E-2</v>
      </c>
      <c r="E34" s="42">
        <f>+'BalanceSheet and P&amp;L 23-24'!E379</f>
        <v>5.0000000000000001E-3</v>
      </c>
    </row>
    <row r="35" spans="1:5" x14ac:dyDescent="0.2">
      <c r="A35" s="86"/>
      <c r="B35" s="82" t="s">
        <v>705</v>
      </c>
      <c r="C35" s="171"/>
      <c r="D35" s="42">
        <f>+'BalanceSheet and P&amp;L 23-24'!D380</f>
        <v>18.483775792607958</v>
      </c>
      <c r="E35" s="42">
        <f>+'BalanceSheet and P&amp;L 23-24'!E380+0.01</f>
        <v>86.248595776000016</v>
      </c>
    </row>
    <row r="36" spans="1:5" x14ac:dyDescent="0.2">
      <c r="A36" s="86"/>
      <c r="B36" s="82" t="s">
        <v>706</v>
      </c>
      <c r="C36" s="171"/>
      <c r="D36" s="42">
        <f>+'BalanceSheet and P&amp;L 23-24'!D381</f>
        <v>147.86826225499999</v>
      </c>
      <c r="E36" s="42">
        <f>+'BalanceSheet and P&amp;L 23-24'!E381-0.08</f>
        <v>127.83627842700002</v>
      </c>
    </row>
    <row r="37" spans="1:5" x14ac:dyDescent="0.2">
      <c r="A37" s="86"/>
      <c r="B37" s="82" t="s">
        <v>3048</v>
      </c>
      <c r="C37" s="171"/>
      <c r="D37" s="42"/>
      <c r="E37" s="42"/>
    </row>
    <row r="38" spans="1:5" x14ac:dyDescent="0.2">
      <c r="A38" s="86"/>
      <c r="B38" s="82"/>
      <c r="C38" s="140"/>
      <c r="D38" s="42"/>
      <c r="E38" s="42"/>
    </row>
    <row r="39" spans="1:5" x14ac:dyDescent="0.2">
      <c r="A39" s="86"/>
      <c r="B39" s="88" t="s">
        <v>7</v>
      </c>
      <c r="C39" s="140"/>
      <c r="D39" s="1812">
        <f>SUM(D28:D37)</f>
        <v>2866.749865837608</v>
      </c>
      <c r="E39" s="1812">
        <f>SUM(E28:E37)</f>
        <v>4199.4422433320005</v>
      </c>
    </row>
    <row r="40" spans="1:5" x14ac:dyDescent="0.2">
      <c r="A40" s="173"/>
      <c r="B40" s="100"/>
      <c r="C40" s="86"/>
      <c r="D40" s="18"/>
      <c r="E40" s="18"/>
    </row>
    <row r="41" spans="1:5" x14ac:dyDescent="0.2">
      <c r="A41" s="93"/>
    </row>
    <row r="42" spans="1:5" x14ac:dyDescent="0.2">
      <c r="A42" s="1899" t="s">
        <v>167</v>
      </c>
      <c r="B42" s="1899"/>
      <c r="C42" s="1899"/>
      <c r="D42" s="1899"/>
      <c r="E42" s="1899"/>
    </row>
    <row r="43" spans="1:5" x14ac:dyDescent="0.2">
      <c r="A43" s="224"/>
      <c r="B43" s="224"/>
      <c r="C43" s="224"/>
      <c r="D43" s="224"/>
      <c r="E43" s="224"/>
    </row>
    <row r="44" spans="1:5" ht="42.75" x14ac:dyDescent="0.2">
      <c r="A44" s="1897" t="s">
        <v>15</v>
      </c>
      <c r="B44" s="1898" t="s">
        <v>6</v>
      </c>
      <c r="C44" s="1897" t="s">
        <v>17</v>
      </c>
      <c r="D44" s="130" t="s">
        <v>149</v>
      </c>
      <c r="E44" s="130" t="s">
        <v>150</v>
      </c>
    </row>
    <row r="45" spans="1:5" x14ac:dyDescent="0.2">
      <c r="A45" s="1897"/>
      <c r="B45" s="1898"/>
      <c r="C45" s="1897"/>
      <c r="D45" s="6" t="str">
        <f>E45</f>
        <v>Rs.</v>
      </c>
      <c r="E45" s="6" t="s">
        <v>1</v>
      </c>
    </row>
    <row r="46" spans="1:5" x14ac:dyDescent="0.2">
      <c r="A46" s="86"/>
      <c r="B46" s="82"/>
      <c r="C46" s="171"/>
      <c r="D46" s="14"/>
      <c r="E46" s="14"/>
    </row>
    <row r="47" spans="1:5" x14ac:dyDescent="0.2">
      <c r="A47" s="86"/>
      <c r="B47" s="82"/>
      <c r="C47" s="172"/>
      <c r="D47" s="14"/>
      <c r="E47" s="14"/>
    </row>
    <row r="48" spans="1:5" x14ac:dyDescent="0.2">
      <c r="A48" s="86"/>
      <c r="B48" s="82"/>
      <c r="C48" s="171"/>
      <c r="D48" s="14"/>
      <c r="E48" s="14"/>
    </row>
    <row r="49" spans="1:5" x14ac:dyDescent="0.2">
      <c r="A49" s="86"/>
      <c r="B49" s="82"/>
      <c r="C49" s="140"/>
      <c r="D49" s="14"/>
      <c r="E49" s="14"/>
    </row>
    <row r="50" spans="1:5" x14ac:dyDescent="0.2">
      <c r="A50" s="86"/>
      <c r="B50" s="82"/>
      <c r="C50" s="140"/>
      <c r="D50" s="14"/>
      <c r="E50" s="14"/>
    </row>
    <row r="51" spans="1:5" x14ac:dyDescent="0.2">
      <c r="A51" s="173"/>
      <c r="B51" s="100"/>
      <c r="C51" s="86"/>
      <c r="D51" s="18"/>
      <c r="E51" s="18"/>
    </row>
    <row r="54" spans="1:5" x14ac:dyDescent="0.2">
      <c r="A54" s="1899" t="s">
        <v>166</v>
      </c>
      <c r="B54" s="1899"/>
      <c r="C54" s="1899"/>
      <c r="D54" s="1899"/>
      <c r="E54" s="1899"/>
    </row>
    <row r="55" spans="1:5" x14ac:dyDescent="0.2">
      <c r="A55" s="224"/>
      <c r="B55" s="224"/>
      <c r="C55" s="224"/>
      <c r="D55" s="224"/>
      <c r="E55" s="224"/>
    </row>
    <row r="56" spans="1:5" ht="42.75" x14ac:dyDescent="0.2">
      <c r="A56" s="1897" t="s">
        <v>15</v>
      </c>
      <c r="B56" s="1898" t="s">
        <v>6</v>
      </c>
      <c r="C56" s="1897" t="s">
        <v>17</v>
      </c>
      <c r="D56" s="130" t="s">
        <v>149</v>
      </c>
      <c r="E56" s="130" t="s">
        <v>150</v>
      </c>
    </row>
    <row r="57" spans="1:5" x14ac:dyDescent="0.2">
      <c r="A57" s="1897"/>
      <c r="B57" s="1898"/>
      <c r="C57" s="1897"/>
      <c r="D57" s="6" t="s">
        <v>1</v>
      </c>
      <c r="E57" s="6" t="s">
        <v>1</v>
      </c>
    </row>
    <row r="58" spans="1:5" x14ac:dyDescent="0.2">
      <c r="A58" s="86"/>
      <c r="B58" s="82"/>
      <c r="C58" s="171"/>
      <c r="D58" s="14"/>
      <c r="E58" s="14"/>
    </row>
    <row r="59" spans="1:5" x14ac:dyDescent="0.2">
      <c r="A59" s="86"/>
      <c r="B59" s="82"/>
      <c r="C59" s="172"/>
      <c r="D59" s="14"/>
      <c r="E59" s="14"/>
    </row>
    <row r="60" spans="1:5" x14ac:dyDescent="0.2">
      <c r="A60" s="86"/>
      <c r="B60" s="82"/>
      <c r="C60" s="171"/>
      <c r="D60" s="14"/>
      <c r="E60" s="14"/>
    </row>
    <row r="61" spans="1:5" x14ac:dyDescent="0.2">
      <c r="A61" s="86"/>
      <c r="B61" s="82"/>
      <c r="C61" s="140"/>
      <c r="D61" s="14"/>
      <c r="E61" s="14"/>
    </row>
    <row r="62" spans="1:5" x14ac:dyDescent="0.2">
      <c r="A62" s="86"/>
      <c r="B62" s="82"/>
      <c r="C62" s="140"/>
      <c r="D62" s="14"/>
      <c r="E62" s="14"/>
    </row>
    <row r="63" spans="1:5" x14ac:dyDescent="0.2">
      <c r="A63" s="173"/>
      <c r="B63" s="100"/>
      <c r="C63" s="86"/>
      <c r="D63" s="18"/>
      <c r="E63" s="18"/>
    </row>
    <row r="66" spans="1:2" x14ac:dyDescent="0.2">
      <c r="A66" s="221" t="s">
        <v>379</v>
      </c>
      <c r="B66" s="3" t="s">
        <v>321</v>
      </c>
    </row>
  </sheetData>
  <sheetProtection selectLockedCells="1" selectUnlockedCells="1"/>
  <mergeCells count="17">
    <mergeCell ref="A42:E42"/>
    <mergeCell ref="A56:A57"/>
    <mergeCell ref="B56:B57"/>
    <mergeCell ref="C56:C57"/>
    <mergeCell ref="A7:A8"/>
    <mergeCell ref="B7:B8"/>
    <mergeCell ref="C7:C8"/>
    <mergeCell ref="A44:A45"/>
    <mergeCell ref="B44:B45"/>
    <mergeCell ref="C44:C45"/>
    <mergeCell ref="A54:E54"/>
    <mergeCell ref="A2:E2"/>
    <mergeCell ref="A5:E5"/>
    <mergeCell ref="A26:A27"/>
    <mergeCell ref="B26:B27"/>
    <mergeCell ref="C26:C27"/>
    <mergeCell ref="A24:E24"/>
  </mergeCells>
  <phoneticPr fontId="0" type="noConversion"/>
  <printOptions horizontalCentered="1"/>
  <pageMargins left="0.78740157480314965" right="0.39370078740157483" top="0.78740157480314965" bottom="0.19685039370078741" header="0.31496062992125984" footer="0.31496062992125984"/>
  <pageSetup paperSize="9" scale="4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32"/>
  <sheetViews>
    <sheetView showGridLines="0" view="pageBreakPreview" zoomScale="80" zoomScaleNormal="80" zoomScaleSheetLayoutView="80" workbookViewId="0">
      <selection activeCell="E26" sqref="E26"/>
    </sheetView>
  </sheetViews>
  <sheetFormatPr defaultColWidth="8.85546875" defaultRowHeight="15" x14ac:dyDescent="0.25"/>
  <cols>
    <col min="1" max="1" width="8.28515625" style="174" customWidth="1"/>
    <col min="2" max="2" width="21.7109375" style="174" customWidth="1"/>
    <col min="3" max="3" width="16.7109375" style="174" customWidth="1"/>
    <col min="4" max="5" width="29.7109375" style="174" customWidth="1"/>
    <col min="6" max="16384" width="8.85546875" style="174"/>
  </cols>
  <sheetData>
    <row r="1" spans="1:5" x14ac:dyDescent="0.25">
      <c r="A1" s="1875" t="s">
        <v>377</v>
      </c>
      <c r="B1" s="1875"/>
      <c r="C1" s="1875"/>
      <c r="D1" s="1875"/>
      <c r="E1" s="1875"/>
    </row>
    <row r="2" spans="1:5" x14ac:dyDescent="0.25">
      <c r="C2" s="1" t="s">
        <v>294</v>
      </c>
    </row>
    <row r="4" spans="1:5" x14ac:dyDescent="0.25">
      <c r="A4" s="1887" t="s">
        <v>171</v>
      </c>
      <c r="B4" s="1887"/>
      <c r="C4" s="1887"/>
      <c r="D4" s="1887"/>
      <c r="E4" s="1887"/>
    </row>
    <row r="5" spans="1:5" x14ac:dyDescent="0.25">
      <c r="A5" s="222"/>
      <c r="B5" s="222"/>
      <c r="C5" s="222"/>
      <c r="D5" s="222"/>
      <c r="E5" s="222"/>
    </row>
    <row r="6" spans="1:5" ht="28.5" x14ac:dyDescent="0.25">
      <c r="A6" s="1874" t="s">
        <v>5</v>
      </c>
      <c r="B6" s="1885" t="s">
        <v>6</v>
      </c>
      <c r="C6" s="1874" t="s">
        <v>17</v>
      </c>
      <c r="D6" s="190" t="s">
        <v>149</v>
      </c>
      <c r="E6" s="190" t="s">
        <v>150</v>
      </c>
    </row>
    <row r="7" spans="1:5" x14ac:dyDescent="0.25">
      <c r="A7" s="1874"/>
      <c r="B7" s="1885"/>
      <c r="C7" s="1874"/>
      <c r="D7" s="185" t="s">
        <v>1</v>
      </c>
      <c r="E7" s="185" t="s">
        <v>1</v>
      </c>
    </row>
    <row r="8" spans="1:5" x14ac:dyDescent="0.25">
      <c r="A8" s="86"/>
      <c r="B8" s="10"/>
      <c r="C8" s="153"/>
      <c r="D8" s="14"/>
      <c r="E8" s="14"/>
    </row>
    <row r="9" spans="1:5" x14ac:dyDescent="0.25">
      <c r="A9" s="86"/>
      <c r="B9" s="82" t="s">
        <v>712</v>
      </c>
      <c r="C9" s="153"/>
      <c r="D9" s="42">
        <f>+'BalanceSheet and P&amp;L 23-24'!D388</f>
        <v>20050.547405182002</v>
      </c>
      <c r="E9" s="42">
        <v>21401.30131345</v>
      </c>
    </row>
    <row r="10" spans="1:5" x14ac:dyDescent="0.25">
      <c r="A10" s="86"/>
      <c r="B10" s="1822" t="s">
        <v>713</v>
      </c>
      <c r="C10" s="153"/>
      <c r="D10" s="42">
        <f>+'BalanceSheet and P&amp;L 23-24'!D389</f>
        <v>218.38663527800003</v>
      </c>
      <c r="E10" s="42">
        <f>+'BalanceSheet and P&amp;L 23-24'!E389</f>
        <v>211.03443160200001</v>
      </c>
    </row>
    <row r="11" spans="1:5" x14ac:dyDescent="0.25">
      <c r="A11" s="86"/>
      <c r="B11" s="82"/>
      <c r="C11" s="153"/>
      <c r="D11" s="42"/>
      <c r="E11" s="42"/>
    </row>
    <row r="12" spans="1:5" x14ac:dyDescent="0.25">
      <c r="A12" s="86"/>
      <c r="B12" s="1822" t="s">
        <v>715</v>
      </c>
      <c r="C12" s="153"/>
      <c r="D12" s="42">
        <f>+'BalanceSheet and P&amp;L 23-24'!D391</f>
        <v>937.80853076000005</v>
      </c>
      <c r="E12" s="42">
        <f>+'BalanceSheet and P&amp;L 23-24'!E391</f>
        <v>945.23648727700004</v>
      </c>
    </row>
    <row r="13" spans="1:5" x14ac:dyDescent="0.25">
      <c r="A13" s="86"/>
      <c r="B13" s="82" t="s">
        <v>716</v>
      </c>
      <c r="C13" s="153"/>
      <c r="D13" s="42">
        <f>+'BalanceSheet and P&amp;L 23-24'!D392</f>
        <v>456.46779770100011</v>
      </c>
      <c r="E13" s="42">
        <f>+'BalanceSheet and P&amp;L 23-24'!E392</f>
        <v>822.98541388900003</v>
      </c>
    </row>
    <row r="14" spans="1:5" x14ac:dyDescent="0.25">
      <c r="A14" s="86"/>
      <c r="B14" s="82" t="s">
        <v>717</v>
      </c>
      <c r="C14" s="153"/>
      <c r="D14" s="42">
        <f>+'BalanceSheet and P&amp;L 23-24'!D393</f>
        <v>456.08801505600002</v>
      </c>
      <c r="E14" s="42">
        <v>324.15974496300004</v>
      </c>
    </row>
    <row r="15" spans="1:5" x14ac:dyDescent="0.25">
      <c r="A15" s="86"/>
      <c r="B15" s="170"/>
      <c r="C15" s="153"/>
      <c r="D15" s="42"/>
      <c r="E15" s="42"/>
    </row>
    <row r="16" spans="1:5" x14ac:dyDescent="0.25">
      <c r="A16" s="86"/>
      <c r="B16" s="1821" t="s">
        <v>7</v>
      </c>
      <c r="C16" s="153"/>
      <c r="D16" s="1812">
        <f>SUM(D9:D14)</f>
        <v>22119.298383977002</v>
      </c>
      <c r="E16" s="1812">
        <f>SUM(E9:E14)</f>
        <v>23704.717391180999</v>
      </c>
    </row>
    <row r="17" spans="1:5" x14ac:dyDescent="0.25">
      <c r="A17" s="86"/>
      <c r="B17" s="170"/>
      <c r="C17" s="153"/>
      <c r="D17" s="14"/>
      <c r="E17" s="14"/>
    </row>
    <row r="21" spans="1:5" x14ac:dyDescent="0.25">
      <c r="A21" s="1887" t="s">
        <v>240</v>
      </c>
      <c r="B21" s="1887"/>
      <c r="C21" s="1887"/>
      <c r="D21" s="1887"/>
      <c r="E21" s="1887"/>
    </row>
    <row r="22" spans="1:5" x14ac:dyDescent="0.25">
      <c r="A22" s="222"/>
      <c r="B22" s="222"/>
      <c r="C22" s="222"/>
      <c r="D22" s="222"/>
      <c r="E22" s="222"/>
    </row>
    <row r="23" spans="1:5" ht="28.5" x14ac:dyDescent="0.25">
      <c r="A23" s="1874" t="s">
        <v>5</v>
      </c>
      <c r="B23" s="1885" t="s">
        <v>6</v>
      </c>
      <c r="C23" s="1874" t="s">
        <v>17</v>
      </c>
      <c r="D23" s="195" t="s">
        <v>149</v>
      </c>
      <c r="E23" s="195" t="s">
        <v>150</v>
      </c>
    </row>
    <row r="24" spans="1:5" x14ac:dyDescent="0.25">
      <c r="A24" s="1874"/>
      <c r="B24" s="1885"/>
      <c r="C24" s="1874"/>
      <c r="D24" s="193" t="s">
        <v>1</v>
      </c>
      <c r="E24" s="193" t="s">
        <v>1</v>
      </c>
    </row>
    <row r="25" spans="1:5" x14ac:dyDescent="0.25">
      <c r="A25" s="86"/>
      <c r="B25" s="10"/>
      <c r="C25" s="153"/>
      <c r="D25" s="14"/>
      <c r="E25" s="14"/>
    </row>
    <row r="26" spans="1:5" x14ac:dyDescent="0.25">
      <c r="A26" s="86"/>
      <c r="B26" s="82" t="s">
        <v>2022</v>
      </c>
      <c r="C26" s="153"/>
      <c r="D26" s="42">
        <f>+'BalanceSheet and P&amp;L 23-24'!D398</f>
        <v>555.71690159700006</v>
      </c>
      <c r="E26" s="42">
        <f>+'BalanceSheet and P&amp;L 23-24'!E398</f>
        <v>278.2720339</v>
      </c>
    </row>
    <row r="27" spans="1:5" x14ac:dyDescent="0.25">
      <c r="A27" s="86"/>
      <c r="B27" s="170"/>
      <c r="C27" s="153"/>
      <c r="D27" s="14"/>
      <c r="E27" s="14"/>
    </row>
    <row r="28" spans="1:5" x14ac:dyDescent="0.25">
      <c r="A28" s="86"/>
      <c r="B28" s="1821" t="s">
        <v>7</v>
      </c>
      <c r="C28" s="153"/>
      <c r="D28" s="1812">
        <f>+D26</f>
        <v>555.71690159700006</v>
      </c>
      <c r="E28" s="1812">
        <f>+E26</f>
        <v>278.2720339</v>
      </c>
    </row>
    <row r="29" spans="1:5" x14ac:dyDescent="0.25">
      <c r="A29" s="78"/>
      <c r="B29" s="100"/>
      <c r="C29" s="90"/>
      <c r="D29" s="18"/>
      <c r="E29" s="18"/>
    </row>
    <row r="32" spans="1:5" x14ac:dyDescent="0.25">
      <c r="A32" s="231" t="s">
        <v>379</v>
      </c>
      <c r="B32" s="3" t="s">
        <v>321</v>
      </c>
    </row>
  </sheetData>
  <mergeCells count="9">
    <mergeCell ref="A1:E1"/>
    <mergeCell ref="A23:A24"/>
    <mergeCell ref="B23:B24"/>
    <mergeCell ref="C23:C24"/>
    <mergeCell ref="A4:E4"/>
    <mergeCell ref="A6:A7"/>
    <mergeCell ref="B6:B7"/>
    <mergeCell ref="C6:C7"/>
    <mergeCell ref="A21:E21"/>
  </mergeCells>
  <pageMargins left="0.7" right="0.7" top="0.75" bottom="0.75" header="0.3" footer="0.3"/>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E41"/>
  <sheetViews>
    <sheetView showGridLines="0" view="pageBreakPreview" topLeftCell="A4" zoomScale="90" zoomScaleSheetLayoutView="90" workbookViewId="0">
      <selection activeCell="E30" sqref="E30"/>
    </sheetView>
  </sheetViews>
  <sheetFormatPr defaultColWidth="9.140625" defaultRowHeight="15" x14ac:dyDescent="0.2"/>
  <cols>
    <col min="1" max="1" width="6.7109375" style="30" customWidth="1"/>
    <col min="2" max="2" width="33.7109375" style="27" customWidth="1"/>
    <col min="3" max="3" width="14.85546875" style="27" customWidth="1"/>
    <col min="4" max="6" width="32.85546875" style="27" customWidth="1"/>
    <col min="7" max="7" width="17.5703125" style="27" bestFit="1" customWidth="1"/>
    <col min="8" max="8" width="18.42578125" style="27" bestFit="1" customWidth="1"/>
    <col min="9" max="9" width="14.28515625" style="27" bestFit="1" customWidth="1"/>
    <col min="10" max="10" width="12.28515625" style="27" bestFit="1" customWidth="1"/>
    <col min="11" max="11" width="10.5703125" style="27" bestFit="1" customWidth="1"/>
    <col min="12" max="16384" width="9.140625" style="27"/>
  </cols>
  <sheetData>
    <row r="2" spans="1:5" x14ac:dyDescent="0.2">
      <c r="A2" s="1875" t="s">
        <v>377</v>
      </c>
      <c r="B2" s="1875"/>
      <c r="C2" s="1875"/>
      <c r="D2" s="1875"/>
      <c r="E2" s="1875"/>
    </row>
    <row r="3" spans="1:5" x14ac:dyDescent="0.2">
      <c r="B3" s="1875" t="s">
        <v>294</v>
      </c>
      <c r="C3" s="1875"/>
      <c r="D3" s="1875"/>
    </row>
    <row r="5" spans="1:5" x14ac:dyDescent="0.2">
      <c r="A5" s="1900" t="s">
        <v>159</v>
      </c>
      <c r="B5" s="1900"/>
      <c r="C5" s="1900"/>
      <c r="D5" s="1900"/>
    </row>
    <row r="6" spans="1:5" x14ac:dyDescent="0.2">
      <c r="A6" s="225"/>
      <c r="B6" s="225"/>
      <c r="C6" s="225"/>
      <c r="D6" s="225"/>
    </row>
    <row r="7" spans="1:5" ht="28.5" x14ac:dyDescent="0.2">
      <c r="A7" s="1874" t="s">
        <v>15</v>
      </c>
      <c r="B7" s="1885" t="s">
        <v>6</v>
      </c>
      <c r="C7" s="1874" t="s">
        <v>17</v>
      </c>
      <c r="D7" s="190" t="s">
        <v>149</v>
      </c>
      <c r="E7" s="190" t="s">
        <v>150</v>
      </c>
    </row>
    <row r="8" spans="1:5" x14ac:dyDescent="0.2">
      <c r="A8" s="1874"/>
      <c r="B8" s="1885"/>
      <c r="C8" s="1874"/>
      <c r="D8" s="185" t="s">
        <v>1</v>
      </c>
      <c r="E8" s="185" t="s">
        <v>1</v>
      </c>
    </row>
    <row r="9" spans="1:5" x14ac:dyDescent="0.2">
      <c r="A9" s="11">
        <v>1</v>
      </c>
      <c r="B9" s="10" t="s">
        <v>241</v>
      </c>
      <c r="C9" s="22"/>
      <c r="D9" s="42">
        <f>+'BalanceSheet and P&amp;L 23-24'!D401+'BalanceSheet and P&amp;L 23-24'!D402</f>
        <v>1603.3047814040001</v>
      </c>
      <c r="E9" s="42">
        <f>+'BalanceSheet and P&amp;L 23-24'!E401+'BalanceSheet and P&amp;L 23-24'!E402</f>
        <v>1268.3000814499999</v>
      </c>
    </row>
    <row r="10" spans="1:5" x14ac:dyDescent="0.2">
      <c r="A10" s="11">
        <v>2</v>
      </c>
      <c r="B10" s="10" t="s">
        <v>242</v>
      </c>
      <c r="C10" s="22"/>
      <c r="D10" s="42"/>
      <c r="E10" s="42"/>
    </row>
    <row r="11" spans="1:5" x14ac:dyDescent="0.2">
      <c r="A11" s="11">
        <v>3</v>
      </c>
      <c r="B11" s="10" t="s">
        <v>243</v>
      </c>
      <c r="C11" s="22"/>
      <c r="D11" s="42"/>
      <c r="E11" s="42"/>
    </row>
    <row r="12" spans="1:5" x14ac:dyDescent="0.2">
      <c r="A12" s="11">
        <v>4</v>
      </c>
      <c r="B12" s="10" t="s">
        <v>244</v>
      </c>
      <c r="C12" s="22"/>
      <c r="D12" s="42"/>
      <c r="E12" s="42"/>
    </row>
    <row r="13" spans="1:5" x14ac:dyDescent="0.2">
      <c r="A13" s="11">
        <v>5</v>
      </c>
      <c r="B13" s="10" t="s">
        <v>245</v>
      </c>
      <c r="C13" s="22"/>
      <c r="D13" s="42"/>
      <c r="E13" s="42"/>
    </row>
    <row r="14" spans="1:5" x14ac:dyDescent="0.2">
      <c r="A14" s="11"/>
      <c r="B14" s="10" t="s">
        <v>183</v>
      </c>
      <c r="C14" s="22"/>
      <c r="D14" s="42"/>
      <c r="E14" s="42"/>
    </row>
    <row r="15" spans="1:5" x14ac:dyDescent="0.2">
      <c r="A15" s="11"/>
      <c r="B15" s="10" t="s">
        <v>183</v>
      </c>
      <c r="C15" s="22"/>
      <c r="D15" s="42"/>
      <c r="E15" s="42"/>
    </row>
    <row r="16" spans="1:5" x14ac:dyDescent="0.2">
      <c r="A16" s="11"/>
      <c r="B16" s="24" t="s">
        <v>246</v>
      </c>
      <c r="C16" s="22"/>
      <c r="D16" s="1812"/>
      <c r="E16" s="42"/>
    </row>
    <row r="17" spans="1:5" x14ac:dyDescent="0.2">
      <c r="A17" s="11">
        <v>6</v>
      </c>
      <c r="B17" s="10" t="s">
        <v>247</v>
      </c>
      <c r="C17" s="10"/>
      <c r="D17" s="42"/>
      <c r="E17" s="42"/>
    </row>
    <row r="18" spans="1:5" x14ac:dyDescent="0.2">
      <c r="A18" s="11">
        <v>7</v>
      </c>
      <c r="B18" s="10" t="s">
        <v>248</v>
      </c>
      <c r="C18" s="10"/>
      <c r="D18" s="42"/>
      <c r="E18" s="42"/>
    </row>
    <row r="19" spans="1:5" x14ac:dyDescent="0.2">
      <c r="A19" s="11">
        <v>8</v>
      </c>
      <c r="B19" s="10" t="s">
        <v>249</v>
      </c>
      <c r="C19" s="10"/>
      <c r="D19" s="42"/>
      <c r="E19" s="42"/>
    </row>
    <row r="20" spans="1:5" x14ac:dyDescent="0.2">
      <c r="A20" s="11"/>
      <c r="B20" s="10" t="s">
        <v>183</v>
      </c>
      <c r="C20" s="10"/>
      <c r="D20" s="42"/>
      <c r="E20" s="42"/>
    </row>
    <row r="21" spans="1:5" x14ac:dyDescent="0.2">
      <c r="A21" s="11"/>
      <c r="B21" s="10" t="s">
        <v>183</v>
      </c>
      <c r="C21" s="10"/>
      <c r="D21" s="42"/>
      <c r="E21" s="42"/>
    </row>
    <row r="22" spans="1:5" x14ac:dyDescent="0.2">
      <c r="A22" s="11"/>
      <c r="B22" s="24" t="s">
        <v>250</v>
      </c>
      <c r="C22" s="10"/>
      <c r="D22" s="42"/>
      <c r="E22" s="42"/>
    </row>
    <row r="23" spans="1:5" x14ac:dyDescent="0.2">
      <c r="A23" s="11">
        <v>9</v>
      </c>
      <c r="B23" s="10" t="s">
        <v>251</v>
      </c>
      <c r="C23" s="10"/>
      <c r="D23" s="42">
        <f>+'BalanceSheet and P&amp;L 23-24'!D405</f>
        <v>94.973433843999999</v>
      </c>
      <c r="E23" s="42">
        <v>99.604207505999995</v>
      </c>
    </row>
    <row r="24" spans="1:5" x14ac:dyDescent="0.2">
      <c r="A24" s="11" t="s">
        <v>2</v>
      </c>
      <c r="B24" s="10" t="s">
        <v>252</v>
      </c>
      <c r="C24" s="10"/>
      <c r="D24" s="42"/>
      <c r="E24" s="42"/>
    </row>
    <row r="25" spans="1:5" x14ac:dyDescent="0.2">
      <c r="A25" s="11" t="s">
        <v>0</v>
      </c>
      <c r="B25" s="10" t="s">
        <v>251</v>
      </c>
      <c r="C25" s="10"/>
      <c r="D25" s="42"/>
      <c r="E25" s="42"/>
    </row>
    <row r="26" spans="1:5" x14ac:dyDescent="0.2">
      <c r="A26" s="11"/>
      <c r="B26" s="10" t="s">
        <v>183</v>
      </c>
      <c r="C26" s="10"/>
      <c r="D26" s="42"/>
      <c r="E26" s="42"/>
    </row>
    <row r="27" spans="1:5" x14ac:dyDescent="0.2">
      <c r="A27" s="11"/>
      <c r="B27" s="10" t="s">
        <v>183</v>
      </c>
      <c r="C27" s="10"/>
      <c r="D27" s="42"/>
      <c r="E27" s="42"/>
    </row>
    <row r="28" spans="1:5" x14ac:dyDescent="0.2">
      <c r="A28" s="11"/>
      <c r="B28" s="24" t="s">
        <v>253</v>
      </c>
      <c r="C28" s="10"/>
      <c r="D28" s="42"/>
      <c r="E28" s="42"/>
    </row>
    <row r="29" spans="1:5" x14ac:dyDescent="0.2">
      <c r="A29" s="11">
        <v>10</v>
      </c>
      <c r="B29" s="10" t="s">
        <v>254</v>
      </c>
      <c r="C29" s="10"/>
      <c r="D29" s="42">
        <f>+'BalanceSheet and P&amp;L 23-24'!D403+'BalanceSheet and P&amp;L 23-24'!D404</f>
        <v>558.78270562299997</v>
      </c>
      <c r="E29" s="42">
        <f>+'BalanceSheet and P&amp;L 23-24'!E403+'BalanceSheet and P&amp;L 23-24'!E404</f>
        <v>338.17675423100002</v>
      </c>
    </row>
    <row r="30" spans="1:5" x14ac:dyDescent="0.2">
      <c r="A30" s="11"/>
      <c r="B30" s="82" t="s">
        <v>727</v>
      </c>
      <c r="C30" s="10"/>
      <c r="D30" s="42">
        <f>+'BalanceSheet and P&amp;L 23-24'!D408</f>
        <v>171.61805000000001</v>
      </c>
      <c r="E30" s="42">
        <f>+'BalanceSheet and P&amp;L 23-24'!E408</f>
        <v>19.753063399999998</v>
      </c>
    </row>
    <row r="31" spans="1:5" x14ac:dyDescent="0.2">
      <c r="A31" s="11"/>
      <c r="B31" s="10" t="s">
        <v>183</v>
      </c>
      <c r="C31" s="10"/>
      <c r="D31" s="42"/>
      <c r="E31" s="42"/>
    </row>
    <row r="32" spans="1:5" x14ac:dyDescent="0.2">
      <c r="A32" s="11"/>
      <c r="B32" s="24" t="s">
        <v>255</v>
      </c>
      <c r="C32" s="10"/>
      <c r="D32" s="10"/>
      <c r="E32" s="10"/>
    </row>
    <row r="33" spans="1:5" x14ac:dyDescent="0.2">
      <c r="A33" s="11"/>
      <c r="B33" s="10" t="s">
        <v>256</v>
      </c>
      <c r="C33" s="10"/>
      <c r="D33" s="10"/>
      <c r="E33" s="10"/>
    </row>
    <row r="34" spans="1:5" x14ac:dyDescent="0.2">
      <c r="A34" s="11"/>
      <c r="B34" s="10" t="s">
        <v>257</v>
      </c>
      <c r="C34" s="10"/>
      <c r="D34" s="10"/>
      <c r="E34" s="10"/>
    </row>
    <row r="35" spans="1:5" x14ac:dyDescent="0.2">
      <c r="A35" s="11"/>
      <c r="B35" s="10" t="s">
        <v>183</v>
      </c>
      <c r="C35" s="10"/>
      <c r="D35" s="10"/>
      <c r="E35" s="10"/>
    </row>
    <row r="36" spans="1:5" x14ac:dyDescent="0.2">
      <c r="A36" s="11"/>
      <c r="B36" s="10" t="s">
        <v>183</v>
      </c>
      <c r="C36" s="10"/>
      <c r="D36" s="10"/>
      <c r="E36" s="10"/>
    </row>
    <row r="37" spans="1:5" x14ac:dyDescent="0.2">
      <c r="A37" s="11"/>
      <c r="B37" s="10" t="s">
        <v>7</v>
      </c>
      <c r="C37" s="10"/>
      <c r="D37" s="10"/>
      <c r="E37" s="10"/>
    </row>
    <row r="38" spans="1:5" x14ac:dyDescent="0.2">
      <c r="A38" s="11"/>
      <c r="B38" s="10" t="s">
        <v>258</v>
      </c>
      <c r="C38" s="10"/>
      <c r="D38" s="10"/>
      <c r="E38" s="10"/>
    </row>
    <row r="39" spans="1:5" x14ac:dyDescent="0.2">
      <c r="A39" s="11"/>
      <c r="B39" s="24" t="s">
        <v>259</v>
      </c>
      <c r="C39" s="10"/>
      <c r="D39" s="1823">
        <f>SUM(D9:D37)</f>
        <v>2428.6789708710003</v>
      </c>
      <c r="E39" s="1823">
        <f>SUM(E9:E37)</f>
        <v>1725.834106587</v>
      </c>
    </row>
    <row r="41" spans="1:5" x14ac:dyDescent="0.2">
      <c r="A41" s="217" t="s">
        <v>379</v>
      </c>
      <c r="B41" s="3" t="s">
        <v>321</v>
      </c>
    </row>
  </sheetData>
  <mergeCells count="6">
    <mergeCell ref="A5:D5"/>
    <mergeCell ref="A7:A8"/>
    <mergeCell ref="B7:B8"/>
    <mergeCell ref="C7:C8"/>
    <mergeCell ref="A2:E2"/>
    <mergeCell ref="B3:D3"/>
  </mergeCells>
  <phoneticPr fontId="0" type="noConversion"/>
  <printOptions horizontalCentered="1"/>
  <pageMargins left="0.78740157480314998" right="0.39370078740157499" top="0.196850393700787" bottom="0.196850393700787" header="0.31496062992126" footer="0.31496062992126"/>
  <pageSetup paperSize="9" scale="9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G48"/>
  <sheetViews>
    <sheetView showGridLines="0" view="pageBreakPreview" topLeftCell="A3" zoomScale="80" zoomScaleSheetLayoutView="80" workbookViewId="0">
      <selection activeCell="E45" sqref="E45"/>
    </sheetView>
  </sheetViews>
  <sheetFormatPr defaultColWidth="9.140625" defaultRowHeight="15" x14ac:dyDescent="0.2"/>
  <cols>
    <col min="1" max="1" width="7.140625" style="77" customWidth="1"/>
    <col min="2" max="2" width="31.42578125" style="72" customWidth="1"/>
    <col min="3" max="3" width="12.85546875" style="177" customWidth="1"/>
    <col min="4" max="4" width="26.140625" style="177" customWidth="1"/>
    <col min="5" max="5" width="26.140625" style="72" customWidth="1"/>
    <col min="6" max="6" width="19.7109375" style="72" bestFit="1" customWidth="1"/>
    <col min="7" max="7" width="17.5703125" style="72" bestFit="1" customWidth="1"/>
    <col min="8" max="8" width="11.140625" style="72" bestFit="1" customWidth="1"/>
    <col min="9" max="9" width="14.28515625" style="72" bestFit="1" customWidth="1"/>
    <col min="10" max="16384" width="9.140625" style="72"/>
  </cols>
  <sheetData>
    <row r="2" spans="1:6" x14ac:dyDescent="0.2">
      <c r="A2" s="1875" t="s">
        <v>377</v>
      </c>
      <c r="B2" s="1875"/>
      <c r="C2" s="1875"/>
      <c r="D2" s="1875"/>
      <c r="E2" s="1875"/>
    </row>
    <row r="3" spans="1:6" x14ac:dyDescent="0.2">
      <c r="C3" s="1" t="s">
        <v>294</v>
      </c>
    </row>
    <row r="4" spans="1:6" x14ac:dyDescent="0.2">
      <c r="C4" s="1"/>
    </row>
    <row r="5" spans="1:6" x14ac:dyDescent="0.2">
      <c r="C5" s="1"/>
    </row>
    <row r="6" spans="1:6" x14ac:dyDescent="0.2">
      <c r="A6" s="1887" t="s">
        <v>160</v>
      </c>
      <c r="B6" s="1887"/>
      <c r="C6" s="1887"/>
      <c r="D6" s="1887"/>
    </row>
    <row r="7" spans="1:6" x14ac:dyDescent="0.2">
      <c r="A7" s="222"/>
      <c r="B7" s="222"/>
      <c r="C7" s="222"/>
      <c r="D7" s="222"/>
    </row>
    <row r="8" spans="1:6" ht="28.5" x14ac:dyDescent="0.2">
      <c r="A8" s="1874" t="s">
        <v>15</v>
      </c>
      <c r="B8" s="1885" t="s">
        <v>6</v>
      </c>
      <c r="C8" s="1901" t="s">
        <v>17</v>
      </c>
      <c r="D8" s="190" t="s">
        <v>149</v>
      </c>
      <c r="E8" s="190" t="s">
        <v>150</v>
      </c>
    </row>
    <row r="9" spans="1:6" x14ac:dyDescent="0.2">
      <c r="A9" s="1874"/>
      <c r="B9" s="1885"/>
      <c r="C9" s="1901"/>
      <c r="D9" s="185" t="s">
        <v>1</v>
      </c>
      <c r="E9" s="185" t="s">
        <v>1</v>
      </c>
    </row>
    <row r="10" spans="1:6" x14ac:dyDescent="0.2">
      <c r="A10" s="86">
        <v>1</v>
      </c>
      <c r="B10" s="82" t="s">
        <v>260</v>
      </c>
      <c r="C10" s="178"/>
      <c r="D10" s="1824">
        <f>+'BalanceSheet and P&amp;L 23-24'!D412+'BalanceSheet and P&amp;L 23-24'!D413+'BalanceSheet and P&amp;L 23-24'!D411</f>
        <v>4022.1525190800007</v>
      </c>
      <c r="E10" s="1824">
        <f>+'BalanceSheet and P&amp;L 23-24'!E412+'BalanceSheet and P&amp;L 23-24'!E413+'BalanceSheet and P&amp;L 23-24'!E411</f>
        <v>3816.2033534770007</v>
      </c>
    </row>
    <row r="11" spans="1:6" x14ac:dyDescent="0.2">
      <c r="A11" s="86"/>
      <c r="B11" s="82" t="s">
        <v>731</v>
      </c>
      <c r="C11" s="153"/>
      <c r="D11" s="1824">
        <f>+'BalanceSheet and P&amp;L 23-24'!D414</f>
        <v>7.5039463</v>
      </c>
      <c r="E11" s="1824">
        <f>+'BalanceSheet and P&amp;L 23-24'!E414</f>
        <v>26.2301672</v>
      </c>
    </row>
    <row r="12" spans="1:6" x14ac:dyDescent="0.2">
      <c r="A12" s="86"/>
      <c r="B12" s="82" t="s">
        <v>733</v>
      </c>
      <c r="C12" s="153"/>
      <c r="D12" s="1824">
        <f>+'BalanceSheet and P&amp;L 23-24'!D416</f>
        <v>16.444166872</v>
      </c>
      <c r="E12" s="1824">
        <f>+'BalanceSheet and P&amp;L 23-24'!E416</f>
        <v>9.8601437020000002</v>
      </c>
    </row>
    <row r="13" spans="1:6" x14ac:dyDescent="0.2">
      <c r="A13" s="86"/>
      <c r="B13" s="82" t="s">
        <v>732</v>
      </c>
      <c r="C13" s="153"/>
      <c r="D13" s="1824">
        <f>+'BalanceSheet and P&amp;L 23-24'!D415</f>
        <v>-435.1596227</v>
      </c>
      <c r="E13" s="1824">
        <v>-359.14347459999999</v>
      </c>
    </row>
    <row r="14" spans="1:6" x14ac:dyDescent="0.2">
      <c r="A14" s="86"/>
      <c r="B14" s="82"/>
      <c r="C14" s="153"/>
      <c r="D14" s="179"/>
      <c r="E14" s="14"/>
    </row>
    <row r="15" spans="1:6" x14ac:dyDescent="0.2">
      <c r="A15" s="86"/>
      <c r="B15" s="82"/>
      <c r="C15" s="153"/>
      <c r="D15" s="179"/>
      <c r="E15" s="14"/>
    </row>
    <row r="16" spans="1:6" x14ac:dyDescent="0.2">
      <c r="A16" s="86">
        <v>2</v>
      </c>
      <c r="B16" s="82" t="s">
        <v>261</v>
      </c>
      <c r="C16" s="153"/>
      <c r="D16" s="14"/>
      <c r="E16" s="14"/>
      <c r="F16" s="175"/>
    </row>
    <row r="17" spans="1:7" x14ac:dyDescent="0.2">
      <c r="A17" s="86"/>
      <c r="B17" s="82" t="s">
        <v>183</v>
      </c>
      <c r="C17" s="153"/>
      <c r="D17" s="14"/>
      <c r="E17" s="14"/>
      <c r="F17" s="175"/>
    </row>
    <row r="18" spans="1:7" x14ac:dyDescent="0.2">
      <c r="A18" s="86"/>
      <c r="B18" s="88" t="s">
        <v>7</v>
      </c>
      <c r="C18" s="153"/>
      <c r="D18" s="1812">
        <f>SUM(D10:D17)</f>
        <v>3610.9410095520007</v>
      </c>
      <c r="E18" s="1812">
        <f>SUM(E10:E17)</f>
        <v>3493.1501897790008</v>
      </c>
      <c r="G18" s="15"/>
    </row>
    <row r="19" spans="1:7" x14ac:dyDescent="0.2">
      <c r="A19" s="86"/>
      <c r="B19" s="100"/>
      <c r="C19" s="176"/>
      <c r="D19" s="18"/>
      <c r="E19" s="18"/>
    </row>
    <row r="20" spans="1:7" x14ac:dyDescent="0.2">
      <c r="B20" s="167"/>
      <c r="C20" s="180"/>
      <c r="D20" s="19"/>
      <c r="E20" s="19"/>
    </row>
    <row r="21" spans="1:7" x14ac:dyDescent="0.2">
      <c r="B21" s="167"/>
      <c r="C21" s="180"/>
      <c r="D21" s="19"/>
      <c r="E21" s="19"/>
    </row>
    <row r="22" spans="1:7" x14ac:dyDescent="0.2">
      <c r="B22" s="167"/>
      <c r="C22" s="180"/>
      <c r="D22" s="19"/>
      <c r="E22" s="19"/>
    </row>
    <row r="23" spans="1:7" x14ac:dyDescent="0.2">
      <c r="A23" s="1887" t="s">
        <v>161</v>
      </c>
      <c r="B23" s="1887"/>
      <c r="C23" s="1887"/>
      <c r="D23" s="1887"/>
    </row>
    <row r="24" spans="1:7" x14ac:dyDescent="0.2">
      <c r="A24" s="222"/>
      <c r="B24" s="222"/>
      <c r="C24" s="222"/>
      <c r="D24" s="222"/>
    </row>
    <row r="25" spans="1:7" ht="28.5" x14ac:dyDescent="0.2">
      <c r="A25" s="1874" t="s">
        <v>15</v>
      </c>
      <c r="B25" s="1885" t="s">
        <v>6</v>
      </c>
      <c r="C25" s="1874" t="s">
        <v>26</v>
      </c>
      <c r="D25" s="190" t="s">
        <v>149</v>
      </c>
      <c r="E25" s="190" t="s">
        <v>150</v>
      </c>
    </row>
    <row r="26" spans="1:7" x14ac:dyDescent="0.2">
      <c r="A26" s="1874"/>
      <c r="B26" s="1885"/>
      <c r="C26" s="1874"/>
      <c r="D26" s="185" t="s">
        <v>1</v>
      </c>
      <c r="E26" s="185" t="s">
        <v>1</v>
      </c>
    </row>
    <row r="27" spans="1:7" x14ac:dyDescent="0.2">
      <c r="A27" s="86"/>
      <c r="B27" s="82" t="s">
        <v>262</v>
      </c>
      <c r="C27" s="153"/>
      <c r="D27" s="14"/>
      <c r="E27" s="14"/>
    </row>
    <row r="28" spans="1:7" x14ac:dyDescent="0.2">
      <c r="A28" s="86">
        <v>1</v>
      </c>
      <c r="B28" s="82" t="s">
        <v>220</v>
      </c>
      <c r="C28" s="153"/>
      <c r="D28" s="42">
        <f>+'FA Final'!E20+'FA Final'!F20</f>
        <v>69.708270215999988</v>
      </c>
      <c r="E28" s="12">
        <v>66.721750993000001</v>
      </c>
    </row>
    <row r="29" spans="1:7" x14ac:dyDescent="0.2">
      <c r="A29" s="86">
        <v>2</v>
      </c>
      <c r="B29" s="82" t="s">
        <v>263</v>
      </c>
      <c r="C29" s="153"/>
      <c r="D29" s="42">
        <f>+'FA Final'!H20+'FA Final'!I20</f>
        <v>92.166576027000005</v>
      </c>
      <c r="E29" s="12">
        <v>85.707255484000001</v>
      </c>
    </row>
    <row r="30" spans="1:7" x14ac:dyDescent="0.2">
      <c r="A30" s="86">
        <v>3</v>
      </c>
      <c r="B30" s="169" t="s">
        <v>264</v>
      </c>
      <c r="C30" s="86"/>
      <c r="D30" s="42">
        <f>+'FA Final'!J20</f>
        <v>2084.175985031</v>
      </c>
      <c r="E30" s="12">
        <v>2246.210439557</v>
      </c>
    </row>
    <row r="31" spans="1:7" x14ac:dyDescent="0.2">
      <c r="A31" s="86">
        <v>4</v>
      </c>
      <c r="B31" s="169" t="s">
        <v>2309</v>
      </c>
      <c r="C31" s="183"/>
      <c r="D31" s="1818">
        <f>+'FA Final'!G20</f>
        <v>134.39723559399999</v>
      </c>
      <c r="E31" s="1818">
        <v>140.86410847900001</v>
      </c>
    </row>
    <row r="32" spans="1:7" x14ac:dyDescent="0.2">
      <c r="A32" s="86">
        <v>5</v>
      </c>
      <c r="B32" s="82" t="s">
        <v>265</v>
      </c>
      <c r="C32" s="183"/>
      <c r="D32" s="1818">
        <f>+'FA Final'!K20</f>
        <v>26.932201800000001</v>
      </c>
      <c r="E32" s="1818">
        <v>26.877271499999999</v>
      </c>
    </row>
    <row r="33" spans="1:5" x14ac:dyDescent="0.2">
      <c r="A33" s="86">
        <v>6</v>
      </c>
      <c r="B33" s="82" t="s">
        <v>224</v>
      </c>
      <c r="C33" s="183"/>
      <c r="D33" s="1818">
        <f>+'FA Final'!L20</f>
        <v>5.5762269959999999</v>
      </c>
      <c r="E33" s="1818">
        <v>4.6919517700000002</v>
      </c>
    </row>
    <row r="34" spans="1:5" x14ac:dyDescent="0.2">
      <c r="A34" s="86">
        <v>7</v>
      </c>
      <c r="B34" s="82" t="s">
        <v>266</v>
      </c>
      <c r="C34" s="183"/>
      <c r="D34" s="1818">
        <f>+'FA Final'!M20</f>
        <v>2.6073383699999999</v>
      </c>
      <c r="E34" s="1818">
        <v>2.6841433920000002</v>
      </c>
    </row>
    <row r="35" spans="1:5" x14ac:dyDescent="0.2">
      <c r="A35" s="86">
        <v>8</v>
      </c>
      <c r="B35" s="82" t="s">
        <v>226</v>
      </c>
      <c r="C35" s="183"/>
      <c r="D35" s="1818">
        <f>+'FA Final'!N20</f>
        <v>9.1765787589999999</v>
      </c>
      <c r="E35" s="1818">
        <v>7.1403556629999994</v>
      </c>
    </row>
    <row r="36" spans="1:5" x14ac:dyDescent="0.2">
      <c r="A36" s="86">
        <v>9</v>
      </c>
      <c r="B36" s="82" t="s">
        <v>3050</v>
      </c>
      <c r="C36" s="183"/>
      <c r="D36" s="1818">
        <f>+'FA Final'!D20</f>
        <v>4.6611259799999996</v>
      </c>
      <c r="E36" s="1818">
        <v>4.2543571</v>
      </c>
    </row>
    <row r="37" spans="1:5" x14ac:dyDescent="0.2">
      <c r="A37" s="86">
        <v>10</v>
      </c>
      <c r="B37" s="82" t="s">
        <v>305</v>
      </c>
      <c r="C37" s="183"/>
      <c r="D37" s="1818">
        <f>+'FA Final'!O20</f>
        <v>1.122938706</v>
      </c>
      <c r="E37" s="1818">
        <v>3.7538632000000001</v>
      </c>
    </row>
    <row r="38" spans="1:5" x14ac:dyDescent="0.2">
      <c r="A38" s="86"/>
      <c r="B38" s="82" t="s">
        <v>7</v>
      </c>
      <c r="C38" s="183"/>
      <c r="D38" s="178">
        <f>SUM(D28:D37)</f>
        <v>2430.5244774789999</v>
      </c>
      <c r="E38" s="178">
        <f>SUM(E28:E37)</f>
        <v>2588.9054971379996</v>
      </c>
    </row>
    <row r="39" spans="1:5" x14ac:dyDescent="0.2">
      <c r="A39" s="86"/>
      <c r="B39" s="82" t="s">
        <v>3051</v>
      </c>
      <c r="C39" s="183"/>
      <c r="D39" s="1818">
        <f>+'FA Final'!Q20</f>
        <v>2.2127809900000002</v>
      </c>
      <c r="E39" s="1818">
        <v>1.6205208659999963</v>
      </c>
    </row>
    <row r="40" spans="1:5" x14ac:dyDescent="0.2">
      <c r="A40" s="86"/>
      <c r="B40" s="82" t="s">
        <v>183</v>
      </c>
      <c r="C40" s="183"/>
      <c r="D40" s="178">
        <f>+D38-D39</f>
        <v>2428.311696489</v>
      </c>
      <c r="E40" s="178">
        <f>+E38-E39</f>
        <v>2587.2849762719998</v>
      </c>
    </row>
    <row r="41" spans="1:5" x14ac:dyDescent="0.2">
      <c r="A41" s="86"/>
      <c r="B41" s="82"/>
      <c r="C41" s="183"/>
      <c r="D41" s="178"/>
      <c r="E41" s="178"/>
    </row>
    <row r="42" spans="1:5" x14ac:dyDescent="0.2">
      <c r="A42" s="86"/>
      <c r="B42" s="82" t="s">
        <v>3079</v>
      </c>
      <c r="C42" s="183"/>
      <c r="D42" s="183">
        <f>+'Note 1A'!C17+'Note 1A'!D17</f>
        <v>257.55285090000001</v>
      </c>
      <c r="E42" s="183">
        <v>253.82251429999999</v>
      </c>
    </row>
    <row r="43" spans="1:5" x14ac:dyDescent="0.2">
      <c r="A43" s="86">
        <v>11</v>
      </c>
      <c r="B43" s="82" t="s">
        <v>3052</v>
      </c>
      <c r="C43" s="183"/>
      <c r="D43" s="183">
        <f>+'Note 1A'!C40</f>
        <v>1.8803448579999997</v>
      </c>
      <c r="E43" s="1818">
        <v>1.7311343879999999</v>
      </c>
    </row>
    <row r="44" spans="1:5" x14ac:dyDescent="0.2">
      <c r="A44" s="86"/>
      <c r="B44" s="82"/>
      <c r="C44" s="183"/>
      <c r="D44" s="183"/>
      <c r="E44" s="82"/>
    </row>
    <row r="45" spans="1:5" x14ac:dyDescent="0.2">
      <c r="A45" s="86"/>
      <c r="B45" s="88" t="s">
        <v>7</v>
      </c>
      <c r="C45" s="183"/>
      <c r="D45" s="178">
        <f>+D40+D43+D42</f>
        <v>2687.7448922470003</v>
      </c>
      <c r="E45" s="178">
        <f>+E40+E43+E42</f>
        <v>2842.8386249599998</v>
      </c>
    </row>
    <row r="46" spans="1:5" x14ac:dyDescent="0.2">
      <c r="A46" s="86"/>
      <c r="B46" s="82"/>
      <c r="C46" s="183"/>
      <c r="D46" s="183"/>
      <c r="E46" s="82"/>
    </row>
    <row r="48" spans="1:5" x14ac:dyDescent="0.2">
      <c r="A48" s="221" t="s">
        <v>379</v>
      </c>
      <c r="B48" s="3" t="s">
        <v>321</v>
      </c>
    </row>
  </sheetData>
  <mergeCells count="9">
    <mergeCell ref="A2:E2"/>
    <mergeCell ref="A25:A26"/>
    <mergeCell ref="B25:B26"/>
    <mergeCell ref="C25:C26"/>
    <mergeCell ref="A6:D6"/>
    <mergeCell ref="A8:A9"/>
    <mergeCell ref="B8:B9"/>
    <mergeCell ref="C8:C9"/>
    <mergeCell ref="A23:D23"/>
  </mergeCells>
  <phoneticPr fontId="0" type="noConversion"/>
  <printOptions horizontalCentered="1"/>
  <pageMargins left="0.78740157480314965" right="0.39370078740157483" top="0.78740157480314965" bottom="0.19685039370078741" header="0.31496062992125984" footer="0.31496062992125984"/>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2:E21"/>
  <sheetViews>
    <sheetView showGridLines="0" view="pageBreakPreview" zoomScale="90" zoomScaleSheetLayoutView="90" workbookViewId="0">
      <selection activeCell="E9" sqref="E9"/>
    </sheetView>
  </sheetViews>
  <sheetFormatPr defaultColWidth="9.140625" defaultRowHeight="15" x14ac:dyDescent="0.2"/>
  <cols>
    <col min="1" max="1" width="6.7109375" style="30" customWidth="1"/>
    <col min="2" max="2" width="32.28515625" style="27" customWidth="1"/>
    <col min="3" max="3" width="10.42578125" style="27" bestFit="1" customWidth="1"/>
    <col min="4" max="4" width="24.42578125" style="27" customWidth="1"/>
    <col min="5" max="5" width="25.140625" style="27" customWidth="1"/>
    <col min="6" max="6" width="12.5703125" style="27" bestFit="1" customWidth="1"/>
    <col min="7" max="7" width="13.85546875" style="27" bestFit="1" customWidth="1"/>
    <col min="8" max="8" width="12.5703125" style="27" bestFit="1" customWidth="1"/>
    <col min="9" max="12" width="9.140625" style="27"/>
    <col min="13" max="13" width="10.5703125" style="27" bestFit="1" customWidth="1"/>
    <col min="14" max="16384" width="9.140625" style="27"/>
  </cols>
  <sheetData>
    <row r="2" spans="1:5" x14ac:dyDescent="0.2">
      <c r="A2" s="1875" t="s">
        <v>377</v>
      </c>
      <c r="B2" s="1875"/>
      <c r="C2" s="1875"/>
      <c r="D2" s="1875"/>
      <c r="E2" s="1875"/>
    </row>
    <row r="3" spans="1:5" x14ac:dyDescent="0.2">
      <c r="C3" s="1" t="s">
        <v>294</v>
      </c>
    </row>
    <row r="5" spans="1:5" x14ac:dyDescent="0.2">
      <c r="A5" s="1872" t="s">
        <v>162</v>
      </c>
      <c r="B5" s="1872"/>
      <c r="C5" s="1872"/>
      <c r="D5" s="1872"/>
    </row>
    <row r="6" spans="1:5" x14ac:dyDescent="0.2">
      <c r="A6" s="220"/>
      <c r="B6" s="220"/>
      <c r="C6" s="220"/>
      <c r="D6" s="220"/>
    </row>
    <row r="7" spans="1:5" ht="42.75" x14ac:dyDescent="0.2">
      <c r="A7" s="1874" t="s">
        <v>15</v>
      </c>
      <c r="B7" s="1885" t="s">
        <v>6</v>
      </c>
      <c r="C7" s="1874" t="s">
        <v>17</v>
      </c>
      <c r="D7" s="190" t="s">
        <v>149</v>
      </c>
      <c r="E7" s="190" t="s">
        <v>150</v>
      </c>
    </row>
    <row r="8" spans="1:5" x14ac:dyDescent="0.2">
      <c r="A8" s="1874"/>
      <c r="B8" s="1885"/>
      <c r="C8" s="1874"/>
      <c r="D8" s="185" t="s">
        <v>1</v>
      </c>
      <c r="E8" s="185" t="s">
        <v>1</v>
      </c>
    </row>
    <row r="9" spans="1:5" x14ac:dyDescent="0.2">
      <c r="A9" s="11">
        <v>1</v>
      </c>
      <c r="B9" s="55" t="s">
        <v>3053</v>
      </c>
      <c r="C9" s="181"/>
      <c r="D9" s="42">
        <f>+'BalanceSheet and P&amp;L 23-24'!D423</f>
        <v>1569.2609407279999</v>
      </c>
      <c r="E9" s="42">
        <v>1527.56842052</v>
      </c>
    </row>
    <row r="10" spans="1:5" x14ac:dyDescent="0.2">
      <c r="A10" s="11">
        <v>2</v>
      </c>
      <c r="B10" s="82" t="s">
        <v>2114</v>
      </c>
      <c r="C10" s="181"/>
      <c r="D10" s="42">
        <f>+'BalanceSheet and P&amp;L 23-24'!D424</f>
        <v>0.48867130199999997</v>
      </c>
      <c r="E10" s="42">
        <f>+'BalanceSheet and P&amp;L 23-24'!E424</f>
        <v>0.76706291599999998</v>
      </c>
    </row>
    <row r="11" spans="1:5" x14ac:dyDescent="0.2">
      <c r="A11" s="11"/>
      <c r="B11" s="10" t="s">
        <v>183</v>
      </c>
      <c r="C11" s="10"/>
      <c r="D11" s="10"/>
      <c r="E11" s="10"/>
    </row>
    <row r="12" spans="1:5" x14ac:dyDescent="0.2">
      <c r="A12" s="11"/>
      <c r="B12" s="10" t="s">
        <v>183</v>
      </c>
      <c r="C12" s="10"/>
      <c r="D12" s="10"/>
      <c r="E12" s="10"/>
    </row>
    <row r="13" spans="1:5" x14ac:dyDescent="0.2">
      <c r="A13" s="11"/>
      <c r="B13" s="24" t="s">
        <v>7</v>
      </c>
      <c r="C13" s="10"/>
      <c r="D13" s="10"/>
      <c r="E13" s="10"/>
    </row>
    <row r="14" spans="1:5" x14ac:dyDescent="0.2">
      <c r="A14" s="11"/>
      <c r="B14" s="10" t="s">
        <v>267</v>
      </c>
      <c r="C14" s="10"/>
      <c r="D14" s="10"/>
      <c r="E14" s="10"/>
    </row>
    <row r="15" spans="1:5" x14ac:dyDescent="0.2">
      <c r="A15" s="11"/>
      <c r="B15" s="10" t="s">
        <v>183</v>
      </c>
      <c r="C15" s="10"/>
      <c r="D15" s="10"/>
      <c r="E15" s="10"/>
    </row>
    <row r="16" spans="1:5" x14ac:dyDescent="0.2">
      <c r="A16" s="11"/>
      <c r="B16" s="10" t="s">
        <v>183</v>
      </c>
      <c r="C16" s="10"/>
      <c r="D16" s="10"/>
      <c r="E16" s="10"/>
    </row>
    <row r="17" spans="1:5" x14ac:dyDescent="0.2">
      <c r="A17" s="11"/>
      <c r="B17" s="10" t="s">
        <v>7</v>
      </c>
      <c r="C17" s="10"/>
      <c r="D17" s="10"/>
      <c r="E17" s="10"/>
    </row>
    <row r="18" spans="1:5" x14ac:dyDescent="0.2">
      <c r="A18" s="11"/>
      <c r="B18" s="10" t="s">
        <v>258</v>
      </c>
      <c r="C18" s="10"/>
      <c r="D18" s="10"/>
      <c r="E18" s="10"/>
    </row>
    <row r="19" spans="1:5" x14ac:dyDescent="0.2">
      <c r="A19" s="11"/>
      <c r="B19" s="10" t="s">
        <v>259</v>
      </c>
      <c r="C19" s="10"/>
      <c r="D19" s="1823">
        <f>SUM(D9:D18)</f>
        <v>1569.74961203</v>
      </c>
      <c r="E19" s="1823">
        <f>SUM(E9:E18)</f>
        <v>1528.335483436</v>
      </c>
    </row>
    <row r="21" spans="1:5" x14ac:dyDescent="0.2">
      <c r="A21" s="217" t="s">
        <v>379</v>
      </c>
      <c r="B21" s="3" t="s">
        <v>321</v>
      </c>
    </row>
  </sheetData>
  <mergeCells count="5">
    <mergeCell ref="A5:D5"/>
    <mergeCell ref="A7:A8"/>
    <mergeCell ref="B7:B8"/>
    <mergeCell ref="C7:C8"/>
    <mergeCell ref="A2:E2"/>
  </mergeCells>
  <printOptions horizontalCentered="1"/>
  <pageMargins left="0.78740157480314965" right="0.39370078740157483" top="0.78740157480314965"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2:F48"/>
  <sheetViews>
    <sheetView showGridLines="0" view="pageBreakPreview" topLeftCell="A4" zoomScale="90" zoomScaleSheetLayoutView="90" workbookViewId="0">
      <selection activeCell="E23" sqref="E23"/>
    </sheetView>
  </sheetViews>
  <sheetFormatPr defaultColWidth="19.85546875" defaultRowHeight="15" x14ac:dyDescent="0.2"/>
  <cols>
    <col min="1" max="1" width="7.42578125" style="77" bestFit="1" customWidth="1"/>
    <col min="2" max="2" width="64.85546875" style="72" customWidth="1"/>
    <col min="3" max="3" width="23.42578125" style="77" bestFit="1" customWidth="1"/>
    <col min="4" max="4" width="22.42578125" style="72" customWidth="1"/>
    <col min="5" max="5" width="21.7109375" style="109" customWidth="1"/>
    <col min="6" max="6" width="19.85546875" style="72" customWidth="1"/>
    <col min="7" max="16384" width="19.85546875" style="72"/>
  </cols>
  <sheetData>
    <row r="2" spans="1:6" x14ac:dyDescent="0.2">
      <c r="A2" s="1875" t="s">
        <v>377</v>
      </c>
      <c r="B2" s="1875"/>
      <c r="C2" s="1875"/>
      <c r="D2" s="1875"/>
      <c r="E2" s="1875"/>
    </row>
    <row r="3" spans="1:6" x14ac:dyDescent="0.2">
      <c r="B3" s="1875" t="s">
        <v>294</v>
      </c>
      <c r="C3" s="1875"/>
      <c r="D3" s="1875"/>
    </row>
    <row r="5" spans="1:6" x14ac:dyDescent="0.2">
      <c r="A5" s="1887" t="s">
        <v>273</v>
      </c>
      <c r="B5" s="1887"/>
      <c r="C5" s="1887"/>
      <c r="D5" s="1887"/>
    </row>
    <row r="6" spans="1:6" x14ac:dyDescent="0.2">
      <c r="A6" s="222"/>
      <c r="B6" s="222"/>
      <c r="C6" s="222"/>
      <c r="D6" s="222"/>
    </row>
    <row r="7" spans="1:6" ht="42.75" x14ac:dyDescent="0.2">
      <c r="A7" s="1885" t="s">
        <v>5</v>
      </c>
      <c r="B7" s="1885" t="s">
        <v>6</v>
      </c>
      <c r="C7" s="1874" t="s">
        <v>17</v>
      </c>
      <c r="D7" s="190" t="s">
        <v>149</v>
      </c>
      <c r="E7" s="190" t="s">
        <v>150</v>
      </c>
    </row>
    <row r="8" spans="1:6" x14ac:dyDescent="0.2">
      <c r="A8" s="1885"/>
      <c r="B8" s="1885"/>
      <c r="C8" s="1874"/>
      <c r="D8" s="185" t="s">
        <v>1</v>
      </c>
      <c r="E8" s="185" t="s">
        <v>1</v>
      </c>
    </row>
    <row r="9" spans="1:6" x14ac:dyDescent="0.2">
      <c r="A9" s="86">
        <v>1</v>
      </c>
      <c r="B9" s="82" t="s">
        <v>268</v>
      </c>
      <c r="C9" s="86"/>
      <c r="D9" s="12">
        <f>+'BalanceSheet and P&amp;L 23-24'!D426+'BalanceSheet and P&amp;L 23-24'!D420</f>
        <v>38.543164765000007</v>
      </c>
      <c r="E9" s="42">
        <v>53.844310730000004</v>
      </c>
      <c r="F9" s="109"/>
    </row>
    <row r="10" spans="1:6" x14ac:dyDescent="0.2">
      <c r="A10" s="86">
        <v>2</v>
      </c>
      <c r="B10" s="82" t="s">
        <v>269</v>
      </c>
      <c r="C10" s="163"/>
      <c r="D10" s="12">
        <f>+'BalanceSheet and P&amp;L 23-24'!D425</f>
        <v>26.421654663999998</v>
      </c>
      <c r="E10" s="12">
        <v>26.908011381000001</v>
      </c>
    </row>
    <row r="11" spans="1:6" x14ac:dyDescent="0.2">
      <c r="A11" s="86">
        <v>3</v>
      </c>
      <c r="B11" s="82" t="s">
        <v>742</v>
      </c>
      <c r="C11" s="162"/>
      <c r="D11" s="12">
        <f>+'BalanceSheet and P&amp;L 23-24'!D427</f>
        <v>12.276476469000002</v>
      </c>
      <c r="E11" s="12">
        <f>+'BalanceSheet and P&amp;L 23-24'!E427</f>
        <v>28.635460676000001</v>
      </c>
    </row>
    <row r="12" spans="1:6" x14ac:dyDescent="0.2">
      <c r="A12" s="86">
        <v>5</v>
      </c>
      <c r="B12" s="82" t="s">
        <v>2124</v>
      </c>
      <c r="C12" s="78"/>
      <c r="D12" s="12">
        <f>+'BalanceSheet and P&amp;L 23-24'!D429</f>
        <v>0.174520801</v>
      </c>
      <c r="E12" s="12">
        <f>+'BalanceSheet and P&amp;L 23-24'!E429</f>
        <v>0.17906525300000001</v>
      </c>
    </row>
    <row r="13" spans="1:6" x14ac:dyDescent="0.2">
      <c r="A13" s="160">
        <v>6</v>
      </c>
      <c r="B13" s="82" t="s">
        <v>745</v>
      </c>
      <c r="C13" s="86"/>
      <c r="D13" s="1818">
        <f>+'BalanceSheet and P&amp;L 23-24'!D430</f>
        <v>48.744779434999991</v>
      </c>
      <c r="E13" s="1818">
        <v>38.445306602000002</v>
      </c>
    </row>
    <row r="14" spans="1:6" x14ac:dyDescent="0.2">
      <c r="A14" s="86">
        <v>8</v>
      </c>
      <c r="B14" s="82" t="s">
        <v>2129</v>
      </c>
      <c r="C14" s="86"/>
      <c r="D14" s="1818">
        <f>+'BalanceSheet and P&amp;L 23-24'!D432</f>
        <v>10.1295114</v>
      </c>
      <c r="E14" s="1818">
        <f>+'BalanceSheet and P&amp;L 23-24'!E432</f>
        <v>18.280990943999999</v>
      </c>
    </row>
    <row r="15" spans="1:6" x14ac:dyDescent="0.2">
      <c r="A15" s="86">
        <v>9</v>
      </c>
      <c r="B15" s="82" t="s">
        <v>2131</v>
      </c>
      <c r="C15" s="86"/>
      <c r="D15" s="1818">
        <f>+'BalanceSheet and P&amp;L 23-24'!D433</f>
        <v>10.056178158</v>
      </c>
      <c r="E15" s="1818">
        <v>10.342248376999999</v>
      </c>
    </row>
    <row r="16" spans="1:6" x14ac:dyDescent="0.2">
      <c r="A16" s="86">
        <v>10</v>
      </c>
      <c r="B16" s="82" t="s">
        <v>749</v>
      </c>
      <c r="C16" s="86"/>
      <c r="D16" s="1818">
        <f>+'BalanceSheet and P&amp;L 23-24'!D434</f>
        <v>47.370661446</v>
      </c>
      <c r="E16" s="1818">
        <f>+'BalanceSheet and P&amp;L 23-24'!E434</f>
        <v>10.746824050000001</v>
      </c>
    </row>
    <row r="17" spans="1:5" x14ac:dyDescent="0.2">
      <c r="A17" s="86">
        <v>12</v>
      </c>
      <c r="B17" s="82" t="s">
        <v>754</v>
      </c>
      <c r="C17" s="86"/>
      <c r="D17" s="1818">
        <f>+'BalanceSheet and P&amp;L 23-24'!D439</f>
        <v>83.284116881999992</v>
      </c>
      <c r="E17" s="1818">
        <v>74.081385744000002</v>
      </c>
    </row>
    <row r="18" spans="1:5" x14ac:dyDescent="0.2">
      <c r="A18" s="86">
        <v>14</v>
      </c>
      <c r="B18" s="82" t="s">
        <v>755</v>
      </c>
      <c r="C18" s="86"/>
      <c r="D18" s="1818">
        <f>+'BalanceSheet and P&amp;L 23-24'!D440</f>
        <v>0</v>
      </c>
      <c r="E18" s="1818">
        <f>+'BalanceSheet and P&amp;L 23-24'!E440</f>
        <v>0.29646620099999998</v>
      </c>
    </row>
    <row r="19" spans="1:5" x14ac:dyDescent="0.2">
      <c r="A19" s="86">
        <v>15</v>
      </c>
      <c r="B19" s="82" t="s">
        <v>756</v>
      </c>
      <c r="C19" s="86"/>
      <c r="D19" s="1818">
        <f>+'BalanceSheet and P&amp;L 23-24'!D441</f>
        <v>1.899663E-3</v>
      </c>
      <c r="E19" s="1818">
        <f>+'BalanceSheet and P&amp;L 23-24'!E441</f>
        <v>5.5115138110000004</v>
      </c>
    </row>
    <row r="20" spans="1:5" x14ac:dyDescent="0.2">
      <c r="A20" s="86">
        <v>16</v>
      </c>
      <c r="B20" s="82" t="s">
        <v>3054</v>
      </c>
      <c r="C20" s="86"/>
      <c r="D20" s="1818">
        <f>+'BalanceSheet and P&amp;L 23-24'!D421</f>
        <v>81.428250000000006</v>
      </c>
      <c r="E20" s="1818">
        <f>+'BalanceSheet and P&amp;L 23-24'!E421</f>
        <v>82.875600000000006</v>
      </c>
    </row>
    <row r="21" spans="1:5" x14ac:dyDescent="0.2">
      <c r="A21" s="86">
        <v>17</v>
      </c>
      <c r="B21" s="82" t="s">
        <v>757</v>
      </c>
      <c r="C21" s="86"/>
      <c r="D21" s="1818">
        <f>+'BalanceSheet and P&amp;L 23-24'!D442</f>
        <v>68.784941700000005</v>
      </c>
      <c r="E21" s="1818">
        <f>+'BalanceSheet and P&amp;L 23-24'!E442</f>
        <v>179.08925009999999</v>
      </c>
    </row>
    <row r="22" spans="1:5" x14ac:dyDescent="0.2">
      <c r="A22" s="86">
        <v>19</v>
      </c>
      <c r="B22" s="82" t="s">
        <v>751</v>
      </c>
      <c r="C22" s="86"/>
      <c r="D22" s="1818">
        <f>+'BalanceSheet and P&amp;L 23-24'!D436</f>
        <v>162.60806342999999</v>
      </c>
      <c r="E22" s="1818">
        <f>+'BalanceSheet and P&amp;L 23-24'!E436</f>
        <v>142.994912196</v>
      </c>
    </row>
    <row r="23" spans="1:5" x14ac:dyDescent="0.2">
      <c r="A23" s="86">
        <v>20</v>
      </c>
      <c r="B23" s="82" t="s">
        <v>752</v>
      </c>
      <c r="C23" s="86"/>
      <c r="D23" s="1818">
        <f>+'BalanceSheet and P&amp;L 23-24'!D437</f>
        <v>72.163088553999998</v>
      </c>
      <c r="E23" s="1818">
        <v>74.362762492000002</v>
      </c>
    </row>
    <row r="24" spans="1:5" x14ac:dyDescent="0.2">
      <c r="A24" s="86">
        <v>21</v>
      </c>
      <c r="B24" s="82" t="s">
        <v>753</v>
      </c>
      <c r="C24" s="86"/>
      <c r="D24" s="1818">
        <f>+'BalanceSheet and P&amp;L 23-24'!D438</f>
        <v>40.774621467999999</v>
      </c>
      <c r="E24" s="1818">
        <f>+'BalanceSheet and P&amp;L 23-24'!E438</f>
        <v>35.740997724000003</v>
      </c>
    </row>
    <row r="25" spans="1:5" x14ac:dyDescent="0.2">
      <c r="A25" s="86">
        <v>22</v>
      </c>
      <c r="B25" s="82" t="s">
        <v>3055</v>
      </c>
      <c r="C25" s="86"/>
      <c r="D25" s="1818">
        <f>+'BalanceSheet and P&amp;L 23-24'!D445+'BalanceSheet and P&amp;L 23-24'!D446+'BalanceSheet and P&amp;L 23-24'!D447+'BalanceSheet and P&amp;L 23-24'!D448</f>
        <v>1.0206999999999999</v>
      </c>
      <c r="E25" s="1818">
        <f>+'BalanceSheet and P&amp;L 23-24'!E445+'BalanceSheet and P&amp;L 23-24'!E446+'BalanceSheet and P&amp;L 23-24'!E447+'BalanceSheet and P&amp;L 23-24'!E448</f>
        <v>0.77844440000000004</v>
      </c>
    </row>
    <row r="26" spans="1:5" x14ac:dyDescent="0.2">
      <c r="A26" s="86">
        <v>23</v>
      </c>
      <c r="B26" s="82" t="s">
        <v>743</v>
      </c>
      <c r="C26" s="86"/>
      <c r="D26" s="1818">
        <f>+'BalanceSheet and P&amp;L 23-24'!D428</f>
        <v>24.146281619</v>
      </c>
      <c r="E26" s="1818">
        <f>+'BalanceSheet and P&amp;L 23-24'!E428</f>
        <v>0</v>
      </c>
    </row>
    <row r="27" spans="1:5" x14ac:dyDescent="0.2">
      <c r="A27" s="86"/>
      <c r="B27" s="82" t="s">
        <v>270</v>
      </c>
      <c r="C27" s="86"/>
      <c r="D27" s="1818"/>
      <c r="E27" s="1818"/>
    </row>
    <row r="28" spans="1:5" x14ac:dyDescent="0.2">
      <c r="A28" s="86" t="s">
        <v>2</v>
      </c>
      <c r="B28" s="82" t="s">
        <v>183</v>
      </c>
      <c r="C28" s="86"/>
      <c r="D28" s="1818"/>
      <c r="E28" s="1818"/>
    </row>
    <row r="29" spans="1:5" x14ac:dyDescent="0.2">
      <c r="A29" s="86" t="s">
        <v>0</v>
      </c>
      <c r="B29" s="82" t="s">
        <v>183</v>
      </c>
      <c r="C29" s="86"/>
      <c r="D29" s="1818"/>
      <c r="E29" s="1818"/>
    </row>
    <row r="30" spans="1:5" x14ac:dyDescent="0.2">
      <c r="A30" s="86"/>
      <c r="B30" s="88" t="s">
        <v>271</v>
      </c>
      <c r="C30" s="86"/>
      <c r="D30" s="1818"/>
      <c r="E30" s="1818"/>
    </row>
    <row r="31" spans="1:5" x14ac:dyDescent="0.2">
      <c r="A31" s="86"/>
      <c r="B31" s="82" t="s">
        <v>272</v>
      </c>
      <c r="C31" s="86"/>
      <c r="D31" s="1818"/>
      <c r="E31" s="1818"/>
    </row>
    <row r="32" spans="1:5" x14ac:dyDescent="0.2">
      <c r="A32" s="86"/>
      <c r="B32" s="100" t="s">
        <v>259</v>
      </c>
      <c r="C32" s="86"/>
      <c r="D32" s="1819">
        <f>SUM(D9:D31)</f>
        <v>727.92891045399995</v>
      </c>
      <c r="E32" s="1819">
        <f>SUM(E9:E31)</f>
        <v>783.11355068099999</v>
      </c>
    </row>
    <row r="36" spans="1:5" x14ac:dyDescent="0.2">
      <c r="A36" s="1906" t="s">
        <v>281</v>
      </c>
      <c r="B36" s="1906"/>
      <c r="C36" s="1906"/>
      <c r="D36" s="1906"/>
      <c r="E36" s="1906"/>
    </row>
    <row r="37" spans="1:5" x14ac:dyDescent="0.2">
      <c r="A37" s="226"/>
      <c r="B37" s="226"/>
      <c r="C37" s="226"/>
      <c r="D37" s="226"/>
      <c r="E37" s="226"/>
    </row>
    <row r="38" spans="1:5" x14ac:dyDescent="0.2">
      <c r="A38" s="1874" t="s">
        <v>3</v>
      </c>
      <c r="B38" s="1907" t="s">
        <v>6</v>
      </c>
      <c r="C38" s="1908"/>
      <c r="D38" s="218" t="str">
        <f>D8</f>
        <v>Rs.</v>
      </c>
      <c r="E38" s="218" t="str">
        <f>E8</f>
        <v>Rs.</v>
      </c>
    </row>
    <row r="39" spans="1:5" x14ac:dyDescent="0.2">
      <c r="A39" s="1874"/>
      <c r="B39" s="1909"/>
      <c r="C39" s="1910"/>
      <c r="D39" s="219"/>
      <c r="E39" s="218"/>
    </row>
    <row r="40" spans="1:5" x14ac:dyDescent="0.2">
      <c r="A40" s="86"/>
      <c r="B40" s="1902" t="s">
        <v>274</v>
      </c>
      <c r="C40" s="1903"/>
      <c r="D40" s="78"/>
      <c r="E40" s="32"/>
    </row>
    <row r="41" spans="1:5" x14ac:dyDescent="0.2">
      <c r="A41" s="86" t="s">
        <v>275</v>
      </c>
      <c r="B41" s="1902" t="s">
        <v>276</v>
      </c>
      <c r="C41" s="1903"/>
      <c r="D41" s="14"/>
      <c r="E41" s="14"/>
    </row>
    <row r="42" spans="1:5" x14ac:dyDescent="0.2">
      <c r="A42" s="86" t="s">
        <v>277</v>
      </c>
      <c r="B42" s="1902" t="s">
        <v>278</v>
      </c>
      <c r="C42" s="1903"/>
      <c r="D42" s="14"/>
      <c r="E42" s="14"/>
    </row>
    <row r="43" spans="1:5" x14ac:dyDescent="0.2">
      <c r="A43" s="86" t="s">
        <v>279</v>
      </c>
      <c r="B43" s="1904" t="s">
        <v>280</v>
      </c>
      <c r="C43" s="1905"/>
      <c r="D43" s="14"/>
      <c r="E43" s="14"/>
    </row>
    <row r="44" spans="1:5" x14ac:dyDescent="0.2">
      <c r="A44" s="86"/>
      <c r="B44" s="1902" t="s">
        <v>183</v>
      </c>
      <c r="C44" s="1903"/>
      <c r="D44" s="82"/>
      <c r="E44" s="200"/>
    </row>
    <row r="45" spans="1:5" x14ac:dyDescent="0.2">
      <c r="A45" s="86"/>
      <c r="B45" s="1902" t="s">
        <v>183</v>
      </c>
      <c r="C45" s="1903"/>
      <c r="D45" s="82"/>
      <c r="E45" s="200"/>
    </row>
    <row r="48" spans="1:5" x14ac:dyDescent="0.2">
      <c r="A48" s="221" t="s">
        <v>379</v>
      </c>
      <c r="B48" s="3" t="s">
        <v>321</v>
      </c>
    </row>
  </sheetData>
  <mergeCells count="15">
    <mergeCell ref="B44:C44"/>
    <mergeCell ref="B45:C45"/>
    <mergeCell ref="A36:E36"/>
    <mergeCell ref="A38:A39"/>
    <mergeCell ref="B38:C39"/>
    <mergeCell ref="B40:C40"/>
    <mergeCell ref="A2:E2"/>
    <mergeCell ref="B3:D3"/>
    <mergeCell ref="B41:C41"/>
    <mergeCell ref="B42:C42"/>
    <mergeCell ref="B43:C43"/>
    <mergeCell ref="A5:D5"/>
    <mergeCell ref="A7:A8"/>
    <mergeCell ref="B7:B8"/>
    <mergeCell ref="C7:C8"/>
  </mergeCells>
  <phoneticPr fontId="0" type="noConversion"/>
  <printOptions horizontalCentered="1"/>
  <pageMargins left="0.78740157480314965" right="0.39370078740157483" top="0.78740157480314965" bottom="0.19685039370078741" header="0.31496062992125984" footer="0.31496062992125984"/>
  <pageSetup paperSize="9" scale="69" orientation="landscape" r:id="rId1"/>
  <colBreaks count="1" manualBreakCount="1">
    <brk id="3" max="51"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G43"/>
  <sheetViews>
    <sheetView showGridLines="0" view="pageBreakPreview" topLeftCell="A13" zoomScale="90" zoomScaleSheetLayoutView="90" workbookViewId="0">
      <selection activeCell="D30" sqref="D30"/>
    </sheetView>
  </sheetViews>
  <sheetFormatPr defaultColWidth="9.140625" defaultRowHeight="15" x14ac:dyDescent="0.2"/>
  <cols>
    <col min="1" max="1" width="8.140625" style="77" customWidth="1"/>
    <col min="2" max="2" width="37.7109375" style="72" customWidth="1"/>
    <col min="3" max="3" width="11.5703125" style="72" customWidth="1"/>
    <col min="4" max="5" width="26.42578125" style="72" customWidth="1"/>
    <col min="6" max="6" width="15.5703125" style="72" bestFit="1" customWidth="1"/>
    <col min="7" max="7" width="12" style="72" bestFit="1" customWidth="1"/>
    <col min="8" max="16384" width="9.140625" style="72"/>
  </cols>
  <sheetData>
    <row r="2" spans="1:7" x14ac:dyDescent="0.2">
      <c r="A2" s="1875" t="s">
        <v>377</v>
      </c>
      <c r="B2" s="1875"/>
      <c r="C2" s="1875"/>
      <c r="D2" s="1875"/>
      <c r="E2" s="1875"/>
    </row>
    <row r="3" spans="1:7" x14ac:dyDescent="0.2">
      <c r="C3" s="1" t="s">
        <v>294</v>
      </c>
    </row>
    <row r="5" spans="1:7" x14ac:dyDescent="0.2">
      <c r="A5" s="1887" t="s">
        <v>146</v>
      </c>
      <c r="B5" s="1887"/>
      <c r="C5" s="1887"/>
      <c r="D5" s="1887"/>
    </row>
    <row r="6" spans="1:7" x14ac:dyDescent="0.2">
      <c r="A6" s="222"/>
      <c r="B6" s="222"/>
      <c r="C6" s="222"/>
      <c r="D6" s="222"/>
    </row>
    <row r="7" spans="1:7" ht="28.5" x14ac:dyDescent="0.2">
      <c r="A7" s="1874" t="s">
        <v>15</v>
      </c>
      <c r="B7" s="1885" t="s">
        <v>6</v>
      </c>
      <c r="C7" s="1874" t="s">
        <v>26</v>
      </c>
      <c r="D7" s="190" t="s">
        <v>149</v>
      </c>
      <c r="E7" s="190" t="s">
        <v>150</v>
      </c>
    </row>
    <row r="8" spans="1:7" x14ac:dyDescent="0.2">
      <c r="A8" s="1874"/>
      <c r="B8" s="1885"/>
      <c r="C8" s="1874"/>
      <c r="D8" s="185" t="s">
        <v>1</v>
      </c>
      <c r="E8" s="185" t="s">
        <v>1</v>
      </c>
    </row>
    <row r="9" spans="1:7" x14ac:dyDescent="0.2">
      <c r="A9" s="86">
        <v>1</v>
      </c>
      <c r="B9" s="206" t="s">
        <v>282</v>
      </c>
      <c r="C9" s="153"/>
      <c r="D9" s="14"/>
      <c r="E9" s="14"/>
    </row>
    <row r="10" spans="1:7" x14ac:dyDescent="0.2">
      <c r="A10" s="86" t="s">
        <v>2</v>
      </c>
      <c r="B10" s="166" t="s">
        <v>235</v>
      </c>
      <c r="C10" s="182"/>
      <c r="D10" s="14"/>
      <c r="E10" s="14"/>
    </row>
    <row r="11" spans="1:7" x14ac:dyDescent="0.2">
      <c r="A11" s="86" t="s">
        <v>0</v>
      </c>
      <c r="B11" s="206" t="s">
        <v>283</v>
      </c>
      <c r="C11" s="153"/>
      <c r="D11" s="14"/>
      <c r="E11" s="14"/>
    </row>
    <row r="12" spans="1:7" x14ac:dyDescent="0.2">
      <c r="A12" s="86" t="s">
        <v>182</v>
      </c>
      <c r="B12" s="169" t="s">
        <v>284</v>
      </c>
      <c r="C12" s="82"/>
      <c r="D12" s="14"/>
      <c r="E12" s="14"/>
      <c r="F12" s="15"/>
      <c r="G12" s="64"/>
    </row>
    <row r="13" spans="1:7" x14ac:dyDescent="0.2">
      <c r="A13" s="86" t="s">
        <v>181</v>
      </c>
      <c r="B13" s="169" t="s">
        <v>285</v>
      </c>
      <c r="C13" s="82"/>
      <c r="D13" s="14"/>
      <c r="E13" s="14"/>
      <c r="F13" s="15"/>
      <c r="G13" s="64"/>
    </row>
    <row r="14" spans="1:7" x14ac:dyDescent="0.2">
      <c r="A14" s="86" t="s">
        <v>191</v>
      </c>
      <c r="B14" s="169" t="s">
        <v>286</v>
      </c>
      <c r="C14" s="82"/>
      <c r="D14" s="14"/>
      <c r="E14" s="14"/>
      <c r="F14" s="15"/>
      <c r="G14" s="64"/>
    </row>
    <row r="15" spans="1:7" x14ac:dyDescent="0.2">
      <c r="A15" s="86"/>
      <c r="B15" s="169" t="s">
        <v>183</v>
      </c>
      <c r="C15" s="82"/>
      <c r="D15" s="14"/>
      <c r="E15" s="14"/>
      <c r="F15" s="15"/>
      <c r="G15" s="64"/>
    </row>
    <row r="16" spans="1:7" x14ac:dyDescent="0.2">
      <c r="A16" s="86"/>
      <c r="B16" s="169" t="s">
        <v>183</v>
      </c>
      <c r="C16" s="82"/>
      <c r="D16" s="14"/>
      <c r="E16" s="14"/>
      <c r="F16" s="15"/>
      <c r="G16" s="64"/>
    </row>
    <row r="17" spans="1:7" x14ac:dyDescent="0.2">
      <c r="A17" s="86"/>
      <c r="B17" s="100" t="s">
        <v>7</v>
      </c>
      <c r="C17" s="82"/>
      <c r="D17" s="14"/>
      <c r="E17" s="14"/>
      <c r="F17" s="15"/>
      <c r="G17" s="64"/>
    </row>
    <row r="18" spans="1:7" x14ac:dyDescent="0.2">
      <c r="A18" s="160">
        <v>2</v>
      </c>
      <c r="B18" s="205" t="s">
        <v>287</v>
      </c>
      <c r="C18" s="205"/>
      <c r="D18" s="205"/>
      <c r="E18" s="205"/>
    </row>
    <row r="19" spans="1:7" x14ac:dyDescent="0.2">
      <c r="A19" s="160">
        <v>3</v>
      </c>
      <c r="B19" s="201" t="s">
        <v>288</v>
      </c>
      <c r="C19" s="159"/>
      <c r="D19" s="14"/>
      <c r="E19" s="14"/>
    </row>
    <row r="20" spans="1:7" x14ac:dyDescent="0.2">
      <c r="A20" s="201"/>
      <c r="B20" s="201" t="s">
        <v>183</v>
      </c>
      <c r="C20" s="159"/>
      <c r="D20" s="14"/>
      <c r="E20" s="14"/>
    </row>
    <row r="21" spans="1:7" x14ac:dyDescent="0.2">
      <c r="A21" s="201"/>
      <c r="B21" s="201" t="s">
        <v>183</v>
      </c>
      <c r="C21" s="159"/>
      <c r="D21" s="14"/>
      <c r="E21" s="14"/>
    </row>
    <row r="22" spans="1:7" x14ac:dyDescent="0.2">
      <c r="A22" s="201"/>
      <c r="B22" s="161" t="s">
        <v>7</v>
      </c>
      <c r="C22" s="159"/>
      <c r="D22" s="14"/>
      <c r="E22" s="14"/>
    </row>
    <row r="23" spans="1:7" x14ac:dyDescent="0.2">
      <c r="A23" s="1837"/>
      <c r="B23" s="1838"/>
      <c r="C23" s="154"/>
      <c r="D23" s="15"/>
      <c r="E23" s="15"/>
    </row>
    <row r="24" spans="1:7" x14ac:dyDescent="0.2">
      <c r="A24" s="1837"/>
      <c r="B24" s="1838"/>
      <c r="C24" s="154"/>
      <c r="D24" s="15"/>
      <c r="E24" s="15"/>
    </row>
    <row r="25" spans="1:7" x14ac:dyDescent="0.2">
      <c r="A25" s="1887" t="s">
        <v>3061</v>
      </c>
      <c r="B25" s="1887"/>
      <c r="C25" s="1887"/>
      <c r="D25" s="1887"/>
    </row>
    <row r="26" spans="1:7" x14ac:dyDescent="0.2">
      <c r="A26" s="1835"/>
      <c r="B26" s="1835"/>
      <c r="C26" s="1835"/>
      <c r="D26" s="1835"/>
    </row>
    <row r="27" spans="1:7" ht="28.5" x14ac:dyDescent="0.2">
      <c r="A27" s="1874" t="s">
        <v>15</v>
      </c>
      <c r="B27" s="1885" t="s">
        <v>6</v>
      </c>
      <c r="C27" s="1874" t="s">
        <v>26</v>
      </c>
      <c r="D27" s="1836" t="s">
        <v>149</v>
      </c>
      <c r="E27" s="1836" t="s">
        <v>150</v>
      </c>
    </row>
    <row r="28" spans="1:7" x14ac:dyDescent="0.2">
      <c r="A28" s="1874"/>
      <c r="B28" s="1885"/>
      <c r="C28" s="1874"/>
      <c r="D28" s="1834" t="s">
        <v>1</v>
      </c>
      <c r="E28" s="1834" t="s">
        <v>1</v>
      </c>
    </row>
    <row r="29" spans="1:7" x14ac:dyDescent="0.2">
      <c r="A29" s="86">
        <v>1</v>
      </c>
      <c r="B29" s="206" t="s">
        <v>770</v>
      </c>
      <c r="C29" s="153"/>
      <c r="D29" s="42">
        <f>+'BalanceSheet and P&amp;L 23-24'!D458</f>
        <v>0</v>
      </c>
      <c r="E29" s="42">
        <v>0</v>
      </c>
    </row>
    <row r="30" spans="1:7" x14ac:dyDescent="0.2">
      <c r="A30" s="86" t="s">
        <v>2</v>
      </c>
      <c r="B30" s="206" t="s">
        <v>1013</v>
      </c>
      <c r="C30" s="182"/>
      <c r="D30" s="42">
        <f>+'BalanceSheet and P&amp;L 23-24'!D459</f>
        <v>-796.33742220639203</v>
      </c>
      <c r="E30" s="42">
        <v>0</v>
      </c>
    </row>
    <row r="31" spans="1:7" x14ac:dyDescent="0.2">
      <c r="A31" s="86"/>
      <c r="B31" s="169" t="s">
        <v>7</v>
      </c>
      <c r="C31" s="82"/>
      <c r="D31" s="1812">
        <f>SUM(D29:D30)</f>
        <v>-796.33742220639203</v>
      </c>
      <c r="E31" s="1812">
        <f>SUM(E29:E30)</f>
        <v>0</v>
      </c>
    </row>
    <row r="32" spans="1:7" x14ac:dyDescent="0.2">
      <c r="A32" s="1837"/>
      <c r="B32" s="1838"/>
      <c r="C32" s="154"/>
      <c r="D32" s="15"/>
      <c r="E32" s="15"/>
    </row>
    <row r="33" spans="1:5" x14ac:dyDescent="0.2">
      <c r="A33" s="1837"/>
      <c r="B33" s="1838"/>
      <c r="C33" s="154"/>
      <c r="D33" s="15"/>
      <c r="E33" s="15"/>
    </row>
    <row r="34" spans="1:5" x14ac:dyDescent="0.2">
      <c r="A34" s="1837"/>
      <c r="B34" s="1838"/>
      <c r="C34" s="154"/>
      <c r="D34" s="15"/>
      <c r="E34" s="15"/>
    </row>
    <row r="36" spans="1:5" x14ac:dyDescent="0.2">
      <c r="A36" s="1887" t="s">
        <v>147</v>
      </c>
      <c r="B36" s="1887"/>
      <c r="C36" s="1887"/>
      <c r="D36" s="1887"/>
    </row>
    <row r="37" spans="1:5" ht="28.5" x14ac:dyDescent="0.2">
      <c r="A37" s="1874" t="s">
        <v>15</v>
      </c>
      <c r="B37" s="1885" t="s">
        <v>6</v>
      </c>
      <c r="C37" s="1901" t="s">
        <v>17</v>
      </c>
      <c r="D37" s="190" t="s">
        <v>149</v>
      </c>
      <c r="E37" s="190" t="s">
        <v>150</v>
      </c>
    </row>
    <row r="38" spans="1:5" x14ac:dyDescent="0.2">
      <c r="A38" s="1874"/>
      <c r="B38" s="1885"/>
      <c r="C38" s="1901"/>
      <c r="D38" s="185" t="s">
        <v>1</v>
      </c>
      <c r="E38" s="185" t="s">
        <v>1</v>
      </c>
    </row>
    <row r="39" spans="1:5" x14ac:dyDescent="0.2">
      <c r="A39" s="86"/>
      <c r="B39" s="82" t="s">
        <v>3056</v>
      </c>
      <c r="C39" s="183"/>
      <c r="D39" s="42">
        <f>+'BalanceSheet and P&amp;L 23-24'!D452</f>
        <v>182.48552272399999</v>
      </c>
      <c r="E39" s="42">
        <v>-217.40822170348798</v>
      </c>
    </row>
    <row r="40" spans="1:5" x14ac:dyDescent="0.2">
      <c r="A40" s="86"/>
      <c r="B40" s="82" t="s">
        <v>3057</v>
      </c>
      <c r="C40" s="183"/>
      <c r="D40" s="42">
        <f>+'BalanceSheet and P&amp;L 23-24'!D453</f>
        <v>-43.192830824000005</v>
      </c>
      <c r="E40" s="42">
        <f>+'BalanceSheet and P&amp;L 23-24'!E453</f>
        <v>-4.971450996512</v>
      </c>
    </row>
    <row r="41" spans="1:5" x14ac:dyDescent="0.2">
      <c r="A41" s="86"/>
      <c r="B41" s="82" t="s">
        <v>521</v>
      </c>
      <c r="C41" s="183"/>
      <c r="D41" s="18"/>
      <c r="E41" s="18"/>
    </row>
    <row r="43" spans="1:5" x14ac:dyDescent="0.2">
      <c r="A43" s="221" t="s">
        <v>379</v>
      </c>
      <c r="B43" s="3" t="s">
        <v>321</v>
      </c>
    </row>
  </sheetData>
  <mergeCells count="13">
    <mergeCell ref="A2:E2"/>
    <mergeCell ref="A37:A38"/>
    <mergeCell ref="B37:B38"/>
    <mergeCell ref="C37:C38"/>
    <mergeCell ref="A5:D5"/>
    <mergeCell ref="A7:A8"/>
    <mergeCell ref="B7:B8"/>
    <mergeCell ref="C7:C8"/>
    <mergeCell ref="A36:D36"/>
    <mergeCell ref="A25:D25"/>
    <mergeCell ref="A27:A28"/>
    <mergeCell ref="B27:B28"/>
    <mergeCell ref="C27:C28"/>
  </mergeCells>
  <phoneticPr fontId="0" type="noConversion"/>
  <printOptions horizontalCentered="1"/>
  <pageMargins left="0.78740157480314965" right="0.39370078740157483" top="0.78740157480314965"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2:I17"/>
  <sheetViews>
    <sheetView showGridLines="0" view="pageBreakPreview" zoomScale="80" zoomScaleSheetLayoutView="80" workbookViewId="0">
      <selection activeCell="H26" sqref="H26"/>
    </sheetView>
  </sheetViews>
  <sheetFormatPr defaultColWidth="9.140625" defaultRowHeight="15" x14ac:dyDescent="0.2"/>
  <cols>
    <col min="1" max="1" width="8.140625" style="77" customWidth="1"/>
    <col min="2" max="2" width="31.140625" style="72" bestFit="1" customWidth="1"/>
    <col min="3" max="3" width="12.140625" style="72" customWidth="1"/>
    <col min="4" max="4" width="16.5703125" style="72" customWidth="1"/>
    <col min="5" max="5" width="15.5703125" style="72" bestFit="1" customWidth="1"/>
    <col min="6" max="6" width="16.5703125" style="72" customWidth="1"/>
    <col min="7" max="7" width="15.7109375" style="72" customWidth="1"/>
    <col min="8" max="8" width="12.28515625" style="72" bestFit="1" customWidth="1"/>
    <col min="9" max="9" width="17" style="72" customWidth="1"/>
    <col min="10" max="16384" width="9.140625" style="72"/>
  </cols>
  <sheetData>
    <row r="2" spans="1:9" x14ac:dyDescent="0.2">
      <c r="A2" s="1875" t="s">
        <v>377</v>
      </c>
      <c r="B2" s="1875"/>
      <c r="C2" s="1875"/>
      <c r="D2" s="1875"/>
      <c r="E2" s="1875"/>
      <c r="F2" s="1875"/>
      <c r="G2" s="1875"/>
      <c r="H2" s="1875"/>
      <c r="I2" s="1875"/>
    </row>
    <row r="3" spans="1:9" x14ac:dyDescent="0.2">
      <c r="D3" s="1" t="s">
        <v>294</v>
      </c>
    </row>
    <row r="5" spans="1:9" x14ac:dyDescent="0.2">
      <c r="A5" s="1887" t="s">
        <v>148</v>
      </c>
      <c r="B5" s="1887"/>
      <c r="C5" s="1887"/>
      <c r="D5" s="1887"/>
      <c r="E5" s="73"/>
      <c r="F5" s="73"/>
    </row>
    <row r="6" spans="1:9" x14ac:dyDescent="0.2">
      <c r="A6" s="222"/>
      <c r="B6" s="222"/>
      <c r="C6" s="222"/>
      <c r="D6" s="222"/>
      <c r="E6" s="222"/>
      <c r="F6" s="222"/>
      <c r="I6" s="221" t="s">
        <v>169</v>
      </c>
    </row>
    <row r="7" spans="1:9" x14ac:dyDescent="0.2">
      <c r="A7" s="1885" t="s">
        <v>15</v>
      </c>
      <c r="B7" s="1885" t="s">
        <v>6</v>
      </c>
      <c r="C7" s="1912" t="s">
        <v>26</v>
      </c>
      <c r="D7" s="1914" t="str">
        <f>'20 &amp; 21'!D26</f>
        <v>Figures as at the end of current reporting period</v>
      </c>
      <c r="E7" s="1914"/>
      <c r="F7" s="1914"/>
      <c r="G7" s="1911" t="str">
        <f>'28 &amp; 29'!E37</f>
        <v>Figures as at the end of previous reporting period</v>
      </c>
      <c r="H7" s="1911"/>
      <c r="I7" s="1911"/>
    </row>
    <row r="8" spans="1:9" ht="28.5" x14ac:dyDescent="0.2">
      <c r="A8" s="1885"/>
      <c r="B8" s="1885"/>
      <c r="C8" s="1913"/>
      <c r="D8" s="6" t="s">
        <v>112</v>
      </c>
      <c r="E8" s="6" t="s">
        <v>113</v>
      </c>
      <c r="F8" s="6" t="s">
        <v>82</v>
      </c>
      <c r="G8" s="6" t="s">
        <v>112</v>
      </c>
      <c r="H8" s="6" t="s">
        <v>113</v>
      </c>
      <c r="I8" s="6" t="s">
        <v>82</v>
      </c>
    </row>
    <row r="9" spans="1:9" x14ac:dyDescent="0.2">
      <c r="A9" s="86">
        <v>1</v>
      </c>
      <c r="B9" s="82" t="s">
        <v>289</v>
      </c>
      <c r="C9" s="153"/>
      <c r="D9" s="14"/>
      <c r="E9" s="14"/>
      <c r="F9" s="14"/>
      <c r="G9" s="14"/>
      <c r="H9" s="14"/>
      <c r="I9" s="14"/>
    </row>
    <row r="10" spans="1:9" x14ac:dyDescent="0.2">
      <c r="A10" s="86">
        <v>2</v>
      </c>
      <c r="B10" s="82" t="s">
        <v>290</v>
      </c>
      <c r="C10" s="163"/>
      <c r="D10" s="14"/>
      <c r="E10" s="14"/>
      <c r="F10" s="14"/>
      <c r="G10" s="14"/>
      <c r="H10" s="14"/>
      <c r="I10" s="14"/>
    </row>
    <row r="11" spans="1:9" x14ac:dyDescent="0.2">
      <c r="A11" s="86">
        <v>3</v>
      </c>
      <c r="B11" s="82" t="s">
        <v>291</v>
      </c>
      <c r="C11" s="153"/>
      <c r="D11" s="14"/>
      <c r="E11" s="14"/>
      <c r="F11" s="14"/>
      <c r="G11" s="14"/>
      <c r="H11" s="14"/>
      <c r="I11" s="14"/>
    </row>
    <row r="12" spans="1:9" x14ac:dyDescent="0.2">
      <c r="A12" s="86">
        <v>4</v>
      </c>
      <c r="B12" s="82" t="s">
        <v>292</v>
      </c>
      <c r="C12" s="163"/>
      <c r="D12" s="14"/>
      <c r="E12" s="14"/>
      <c r="F12" s="14"/>
      <c r="G12" s="14"/>
      <c r="H12" s="14"/>
      <c r="I12" s="14"/>
    </row>
    <row r="13" spans="1:9" x14ac:dyDescent="0.2">
      <c r="A13" s="86">
        <v>5</v>
      </c>
      <c r="B13" s="82" t="s">
        <v>293</v>
      </c>
      <c r="C13" s="153"/>
      <c r="D13" s="14"/>
      <c r="E13" s="14"/>
      <c r="F13" s="14"/>
      <c r="G13" s="14"/>
      <c r="H13" s="14"/>
      <c r="I13" s="14"/>
    </row>
    <row r="14" spans="1:9" x14ac:dyDescent="0.2">
      <c r="A14" s="78"/>
      <c r="B14" s="169" t="s">
        <v>183</v>
      </c>
      <c r="C14" s="155"/>
      <c r="D14" s="18"/>
      <c r="E14" s="18"/>
      <c r="F14" s="18"/>
      <c r="G14" s="18"/>
      <c r="H14" s="18"/>
      <c r="I14" s="18"/>
    </row>
    <row r="15" spans="1:9" x14ac:dyDescent="0.2">
      <c r="A15" s="202"/>
      <c r="B15" s="205" t="s">
        <v>183</v>
      </c>
      <c r="C15" s="205"/>
      <c r="D15" s="205"/>
      <c r="E15" s="205"/>
      <c r="F15" s="205"/>
      <c r="G15" s="205"/>
      <c r="H15" s="205"/>
      <c r="I15" s="205"/>
    </row>
    <row r="17" spans="1:2" x14ac:dyDescent="0.2">
      <c r="A17" s="221" t="s">
        <v>379</v>
      </c>
      <c r="B17" s="3" t="s">
        <v>321</v>
      </c>
    </row>
  </sheetData>
  <mergeCells count="7">
    <mergeCell ref="A2:I2"/>
    <mergeCell ref="G7:I7"/>
    <mergeCell ref="A5:D5"/>
    <mergeCell ref="A7:A8"/>
    <mergeCell ref="B7:B8"/>
    <mergeCell ref="C7:C8"/>
    <mergeCell ref="D7:F7"/>
  </mergeCells>
  <printOptions horizontalCentered="1"/>
  <pageMargins left="0.78740157480314965" right="0.39370078740157483" top="0.78740157480314965" bottom="0.19685039370078741" header="0.31496062992125984" footer="0.31496062992125984"/>
  <pageSetup paperSize="9" scale="94" orientation="landscape"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rgb="FFFFFF00"/>
  </sheetPr>
  <dimension ref="A1:BO546"/>
  <sheetViews>
    <sheetView topLeftCell="A437" workbookViewId="0">
      <selection activeCell="D459" sqref="D459"/>
    </sheetView>
  </sheetViews>
  <sheetFormatPr defaultColWidth="9.140625" defaultRowHeight="15" x14ac:dyDescent="0.25"/>
  <cols>
    <col min="1" max="1" width="6" style="259" customWidth="1"/>
    <col min="2" max="2" width="62.85546875" style="269" customWidth="1"/>
    <col min="3" max="3" width="8.42578125" style="731" customWidth="1"/>
    <col min="4" max="4" width="24.5703125" style="243" customWidth="1"/>
    <col min="5" max="5" width="26.5703125" style="737" customWidth="1"/>
    <col min="6" max="6" width="20.28515625" style="355" bestFit="1" customWidth="1"/>
    <col min="7" max="9" width="17.7109375" style="243" hidden="1" customWidth="1"/>
    <col min="10" max="10" width="24" style="243" bestFit="1" customWidth="1"/>
    <col min="11" max="11" width="28.42578125" style="267" customWidth="1"/>
    <col min="12" max="12" width="23.5703125" style="268" customWidth="1"/>
    <col min="13" max="13" width="30.5703125" style="241" customWidth="1"/>
    <col min="14" max="14" width="19.140625" style="242" customWidth="1"/>
    <col min="15" max="15" width="22.85546875" style="269" customWidth="1"/>
    <col min="16" max="16" width="26.42578125" style="269" customWidth="1"/>
    <col min="17" max="18" width="11.28515625" style="269" customWidth="1"/>
    <col min="19" max="19" width="15" style="269" customWidth="1"/>
    <col min="20" max="20" width="9.140625" style="269" customWidth="1"/>
    <col min="21" max="21" width="11.28515625" style="269" customWidth="1"/>
    <col min="22" max="30" width="9.140625" style="269" customWidth="1"/>
    <col min="31" max="31" width="6.140625" style="243" customWidth="1"/>
    <col min="32" max="60" width="9.140625" style="243"/>
    <col min="61" max="61" width="22.28515625" style="269" customWidth="1"/>
    <col min="62" max="62" width="21" style="269" customWidth="1"/>
    <col min="63" max="63" width="12.140625" style="269" customWidth="1"/>
    <col min="64" max="64" width="9.140625" style="269" customWidth="1"/>
    <col min="65" max="65" width="16.140625" style="269" customWidth="1"/>
    <col min="66" max="66" width="21.85546875" style="269" bestFit="1" customWidth="1"/>
    <col min="67" max="67" width="12.7109375" style="269" bestFit="1" customWidth="1"/>
    <col min="68" max="70" width="9.140625" style="269" customWidth="1"/>
    <col min="71" max="16384" width="9.140625" style="269"/>
  </cols>
  <sheetData>
    <row r="1" spans="1:64" s="242" customFormat="1" ht="18" customHeight="1" x14ac:dyDescent="0.25">
      <c r="A1" s="233"/>
      <c r="B1" s="234" t="s">
        <v>383</v>
      </c>
      <c r="C1" s="235"/>
      <c r="D1" s="235"/>
      <c r="E1" s="236"/>
      <c r="F1" s="237"/>
      <c r="G1" s="238"/>
      <c r="H1" s="238"/>
      <c r="I1" s="238"/>
      <c r="J1" s="239"/>
      <c r="K1" s="240"/>
      <c r="L1" s="241"/>
      <c r="M1" s="241"/>
      <c r="AE1" s="243"/>
    </row>
    <row r="2" spans="1:64" s="242" customFormat="1" ht="14.25" customHeight="1" x14ac:dyDescent="0.25">
      <c r="A2" s="233" t="s">
        <v>384</v>
      </c>
      <c r="B2" s="244" t="s">
        <v>385</v>
      </c>
      <c r="C2" s="245" t="s">
        <v>386</v>
      </c>
      <c r="D2" s="246"/>
      <c r="E2" s="247" t="s">
        <v>387</v>
      </c>
      <c r="F2" s="248"/>
      <c r="G2" s="249"/>
      <c r="H2" s="249"/>
      <c r="I2" s="249"/>
      <c r="J2" s="243"/>
      <c r="K2" s="250"/>
      <c r="L2" s="241"/>
      <c r="M2" s="241"/>
      <c r="AE2" s="243"/>
    </row>
    <row r="3" spans="1:64" s="242" customFormat="1" ht="43.5" customHeight="1" x14ac:dyDescent="0.25">
      <c r="A3" s="233"/>
      <c r="B3" s="251"/>
      <c r="C3" s="252" t="s">
        <v>388</v>
      </c>
      <c r="D3" s="253" t="s">
        <v>389</v>
      </c>
      <c r="E3" s="254" t="s">
        <v>390</v>
      </c>
      <c r="F3" s="255" t="s">
        <v>391</v>
      </c>
      <c r="G3" s="256"/>
      <c r="H3" s="256"/>
      <c r="I3" s="256"/>
      <c r="J3" s="257"/>
      <c r="K3" s="250"/>
      <c r="L3" s="241"/>
      <c r="M3" s="258"/>
      <c r="AE3" s="243"/>
    </row>
    <row r="4" spans="1:64" ht="14.1" customHeight="1" x14ac:dyDescent="0.25">
      <c r="B4" s="260" t="s">
        <v>392</v>
      </c>
      <c r="C4" s="261"/>
      <c r="D4" s="262"/>
      <c r="E4" s="263"/>
      <c r="F4" s="264"/>
      <c r="G4" s="265"/>
      <c r="H4" s="265"/>
      <c r="I4" s="265"/>
      <c r="J4" s="266"/>
    </row>
    <row r="5" spans="1:64" ht="14.1" customHeight="1" x14ac:dyDescent="0.25">
      <c r="B5" s="260" t="s">
        <v>393</v>
      </c>
      <c r="C5" s="261"/>
      <c r="D5" s="270"/>
      <c r="E5" s="271"/>
      <c r="F5" s="264"/>
      <c r="G5" s="265"/>
      <c r="H5" s="265"/>
      <c r="I5" s="265"/>
      <c r="J5" s="266"/>
    </row>
    <row r="6" spans="1:64" ht="14.1" customHeight="1" x14ac:dyDescent="0.25">
      <c r="B6" s="272" t="s">
        <v>394</v>
      </c>
      <c r="C6" s="273">
        <v>1</v>
      </c>
      <c r="D6" s="274">
        <f>'[15]Balance sheet groupings'!D26-'[15]Balance sheet groupings'!D43</f>
        <v>29253.386923038997</v>
      </c>
      <c r="E6" s="275">
        <f>'[15]Balance sheet groupings'!F26-'[15]Balance sheet groupings'!F43</f>
        <v>31031.659995595001</v>
      </c>
      <c r="F6" s="276">
        <f>32774.723769056</f>
        <v>32774.723769056</v>
      </c>
      <c r="G6" s="276"/>
      <c r="H6" s="276">
        <v>31040.513030772992</v>
      </c>
      <c r="I6" s="276">
        <f>+H6-E6</f>
        <v>8.8530351779918419</v>
      </c>
      <c r="J6" s="277"/>
      <c r="K6" s="278"/>
      <c r="L6" s="241"/>
      <c r="M6" s="279">
        <f t="shared" ref="M6:N56" si="0">+D6-E6</f>
        <v>-1778.2730725560032</v>
      </c>
      <c r="N6" s="242">
        <f t="shared" si="0"/>
        <v>-1743.0637734609991</v>
      </c>
      <c r="P6" s="269">
        <f>+D6-E6</f>
        <v>-1778.2730725560032</v>
      </c>
      <c r="Q6" s="269" t="s">
        <v>395</v>
      </c>
      <c r="BJ6" s="267"/>
      <c r="BK6" s="267"/>
      <c r="BL6" s="267"/>
    </row>
    <row r="7" spans="1:64" ht="14.1" customHeight="1" x14ac:dyDescent="0.25">
      <c r="B7" s="272" t="s">
        <v>396</v>
      </c>
      <c r="C7" s="273">
        <v>2</v>
      </c>
      <c r="D7" s="274">
        <f>'[15]Balance sheet groupings'!D113</f>
        <v>7195.0995502320002</v>
      </c>
      <c r="E7" s="275">
        <f>'[15]Balance sheet groupings'!F113</f>
        <v>5757.2913941300003</v>
      </c>
      <c r="F7" s="276">
        <v>4703.5082975660007</v>
      </c>
      <c r="G7" s="276"/>
      <c r="H7" s="276">
        <v>5793.8387559570001</v>
      </c>
      <c r="I7" s="276">
        <f>+H7-E7</f>
        <v>36.547361826999804</v>
      </c>
      <c r="J7" s="277"/>
      <c r="K7" s="278"/>
      <c r="L7" s="241"/>
      <c r="M7" s="279">
        <f t="shared" si="0"/>
        <v>1437.8081561019999</v>
      </c>
      <c r="N7" s="242">
        <f t="shared" si="0"/>
        <v>1053.7830965639996</v>
      </c>
      <c r="P7" s="269">
        <f t="shared" ref="P7:P35" si="1">+D7-E7</f>
        <v>1437.8081561019999</v>
      </c>
      <c r="BJ7" s="267"/>
      <c r="BK7" s="267"/>
      <c r="BL7" s="267"/>
    </row>
    <row r="8" spans="1:64" ht="14.1" customHeight="1" x14ac:dyDescent="0.25">
      <c r="B8" s="272" t="s">
        <v>397</v>
      </c>
      <c r="C8" s="273" t="s">
        <v>398</v>
      </c>
      <c r="D8" s="274">
        <f>+'[15]Balance sheet groupings'!C49</f>
        <v>3288.1758949000005</v>
      </c>
      <c r="E8" s="275">
        <f>+'[15]Balance sheet groupings'!E49</f>
        <v>3419.2373834</v>
      </c>
      <c r="F8" s="276">
        <v>3673.0598977</v>
      </c>
      <c r="G8" s="276"/>
      <c r="H8" s="276">
        <v>3419.2373834</v>
      </c>
      <c r="I8" s="276">
        <f>+H8-E8</f>
        <v>0</v>
      </c>
      <c r="J8" s="277"/>
      <c r="K8" s="278"/>
      <c r="L8" s="241"/>
      <c r="M8" s="279">
        <f t="shared" si="0"/>
        <v>-131.06148849999954</v>
      </c>
      <c r="N8" s="242">
        <f t="shared" si="0"/>
        <v>-253.82251429999997</v>
      </c>
      <c r="P8" s="269">
        <f t="shared" si="1"/>
        <v>-131.06148849999954</v>
      </c>
      <c r="BJ8" s="267"/>
      <c r="BK8" s="267"/>
      <c r="BL8" s="267"/>
    </row>
    <row r="9" spans="1:64" ht="14.1" customHeight="1" x14ac:dyDescent="0.25">
      <c r="B9" s="272" t="s">
        <v>399</v>
      </c>
      <c r="C9" s="273" t="s">
        <v>400</v>
      </c>
      <c r="D9" s="274">
        <f>+'[15]Balance sheet groupings'!C54</f>
        <v>2.4729597610000056</v>
      </c>
      <c r="E9" s="275">
        <f>+'[15]Balance sheet groupings'!E54</f>
        <v>4.2940700679999964</v>
      </c>
      <c r="F9" s="276">
        <v>3.1431939830000033</v>
      </c>
      <c r="G9" s="276"/>
      <c r="H9" s="276">
        <v>4.2940700679999964</v>
      </c>
      <c r="I9" s="276">
        <f t="shared" ref="I9:I16" si="2">+H9-E9</f>
        <v>0</v>
      </c>
      <c r="J9" s="277"/>
      <c r="K9" s="278"/>
      <c r="L9" s="241"/>
      <c r="M9" s="279">
        <f t="shared" si="0"/>
        <v>-1.8211103069999908</v>
      </c>
      <c r="N9" s="242">
        <f t="shared" si="0"/>
        <v>1.1508760849999931</v>
      </c>
      <c r="P9" s="269">
        <f t="shared" si="1"/>
        <v>-1.8211103069999908</v>
      </c>
      <c r="BJ9" s="267"/>
      <c r="BK9" s="267"/>
      <c r="BL9" s="267"/>
    </row>
    <row r="10" spans="1:64" ht="14.1" customHeight="1" x14ac:dyDescent="0.25">
      <c r="B10" s="272" t="s">
        <v>401</v>
      </c>
      <c r="C10" s="273">
        <v>2</v>
      </c>
      <c r="D10" s="274">
        <f>'[15]Balance sheet groupings'!D115</f>
        <v>642.07934182600002</v>
      </c>
      <c r="E10" s="275">
        <f>'[15]Balance sheet groupings'!F115</f>
        <v>574.16186102100005</v>
      </c>
      <c r="F10" s="276">
        <v>378.067937207</v>
      </c>
      <c r="G10" s="276"/>
      <c r="H10" s="276">
        <v>574.16186102100005</v>
      </c>
      <c r="I10" s="276">
        <f t="shared" si="2"/>
        <v>0</v>
      </c>
      <c r="J10" s="277"/>
      <c r="K10" s="278"/>
      <c r="L10" s="241"/>
      <c r="M10" s="279">
        <f t="shared" si="0"/>
        <v>67.917480804999968</v>
      </c>
      <c r="N10" s="242">
        <f t="shared" si="0"/>
        <v>196.09392381400005</v>
      </c>
      <c r="P10" s="269">
        <f t="shared" si="1"/>
        <v>67.917480804999968</v>
      </c>
      <c r="BJ10" s="267"/>
      <c r="BK10" s="267"/>
      <c r="BL10" s="267"/>
    </row>
    <row r="11" spans="1:64" ht="13.5" customHeight="1" x14ac:dyDescent="0.25">
      <c r="B11" s="272" t="s">
        <v>402</v>
      </c>
      <c r="C11" s="273"/>
      <c r="D11" s="274"/>
      <c r="E11" s="275"/>
      <c r="F11" s="276"/>
      <c r="G11" s="276"/>
      <c r="H11" s="276"/>
      <c r="I11" s="276">
        <f t="shared" si="2"/>
        <v>0</v>
      </c>
      <c r="J11" s="277"/>
      <c r="K11" s="278"/>
      <c r="L11" s="241"/>
      <c r="M11" s="241">
        <f t="shared" si="0"/>
        <v>0</v>
      </c>
      <c r="N11" s="242">
        <f t="shared" si="0"/>
        <v>0</v>
      </c>
      <c r="P11" s="269">
        <f t="shared" si="1"/>
        <v>0</v>
      </c>
      <c r="BJ11" s="267"/>
      <c r="BK11" s="267"/>
      <c r="BL11" s="267"/>
    </row>
    <row r="12" spans="1:64" x14ac:dyDescent="0.25">
      <c r="B12" s="272" t="s">
        <v>403</v>
      </c>
      <c r="C12" s="280">
        <f>+A143</f>
        <v>3</v>
      </c>
      <c r="D12" s="274">
        <f>D170</f>
        <v>2.6698617039999997</v>
      </c>
      <c r="E12" s="275">
        <f>E170</f>
        <v>2.3909302000000072</v>
      </c>
      <c r="F12" s="276">
        <f>F170</f>
        <v>2.2916033000000002</v>
      </c>
      <c r="G12" s="276"/>
      <c r="H12" s="276">
        <v>2.3909302000000068</v>
      </c>
      <c r="I12" s="276">
        <f t="shared" si="2"/>
        <v>0</v>
      </c>
      <c r="J12" s="277"/>
      <c r="K12" s="278"/>
      <c r="L12" s="241"/>
      <c r="M12" s="279">
        <f t="shared" si="0"/>
        <v>0.27893150399999245</v>
      </c>
      <c r="N12" s="242">
        <f t="shared" si="0"/>
        <v>9.932690000000699E-2</v>
      </c>
      <c r="P12" s="269">
        <f t="shared" si="1"/>
        <v>0.27893150399999245</v>
      </c>
      <c r="BI12" s="281"/>
      <c r="BJ12" s="267"/>
      <c r="BK12" s="267"/>
      <c r="BL12" s="267"/>
    </row>
    <row r="13" spans="1:64" x14ac:dyDescent="0.25">
      <c r="B13" s="272" t="s">
        <v>404</v>
      </c>
      <c r="C13" s="282" t="s">
        <v>405</v>
      </c>
      <c r="D13" s="274">
        <f>D173</f>
        <v>153.9352332</v>
      </c>
      <c r="E13" s="275">
        <f t="shared" ref="E13:F13" si="3">E173</f>
        <v>91.206204</v>
      </c>
      <c r="F13" s="276">
        <f t="shared" si="3"/>
        <v>89.062062800000007</v>
      </c>
      <c r="G13" s="276"/>
      <c r="H13" s="276">
        <v>91.206204</v>
      </c>
      <c r="I13" s="276">
        <f t="shared" si="2"/>
        <v>0</v>
      </c>
      <c r="J13" s="277"/>
      <c r="K13" s="278"/>
      <c r="L13" s="241"/>
      <c r="M13" s="283">
        <f t="shared" si="0"/>
        <v>62.729029199999999</v>
      </c>
      <c r="N13" s="242">
        <f t="shared" si="0"/>
        <v>2.1441411999999929</v>
      </c>
      <c r="P13" s="269">
        <f t="shared" si="1"/>
        <v>62.729029199999999</v>
      </c>
      <c r="BI13" s="281"/>
      <c r="BJ13" s="267"/>
      <c r="BK13" s="267"/>
      <c r="BL13" s="267"/>
    </row>
    <row r="14" spans="1:64" x14ac:dyDescent="0.25">
      <c r="B14" s="284" t="s">
        <v>406</v>
      </c>
      <c r="C14" s="282" t="s">
        <v>407</v>
      </c>
      <c r="D14" s="274">
        <f>D179</f>
        <v>4340.3346837788831</v>
      </c>
      <c r="E14" s="275">
        <f>E179</f>
        <v>7256.1938187397327</v>
      </c>
      <c r="F14" s="276">
        <f>F179</f>
        <v>0</v>
      </c>
      <c r="G14" s="276"/>
      <c r="H14" s="276">
        <v>0</v>
      </c>
      <c r="I14" s="276">
        <f t="shared" si="2"/>
        <v>-7256.1938187397327</v>
      </c>
      <c r="J14" s="277"/>
      <c r="K14" s="278"/>
      <c r="L14" s="241"/>
      <c r="M14" s="241">
        <f t="shared" si="0"/>
        <v>-2915.8591349608496</v>
      </c>
      <c r="N14" s="242">
        <f t="shared" si="0"/>
        <v>7256.1938187397327</v>
      </c>
      <c r="P14" s="269">
        <f t="shared" si="1"/>
        <v>-2915.8591349608496</v>
      </c>
      <c r="BI14" s="281"/>
      <c r="BJ14" s="267"/>
      <c r="BK14" s="267"/>
      <c r="BL14" s="267"/>
    </row>
    <row r="15" spans="1:64" hidden="1" x14ac:dyDescent="0.25">
      <c r="B15" s="285" t="s">
        <v>408</v>
      </c>
      <c r="C15" s="282"/>
      <c r="D15" s="274">
        <f>IF('[15]Input Sheet'!G1073&gt;0,'[15]Input Sheet'!G1073,0)</f>
        <v>0</v>
      </c>
      <c r="E15" s="275"/>
      <c r="F15" s="276"/>
      <c r="G15" s="276"/>
      <c r="H15" s="276">
        <v>0</v>
      </c>
      <c r="I15" s="276">
        <f t="shared" si="2"/>
        <v>0</v>
      </c>
      <c r="J15" s="277"/>
      <c r="K15" s="278"/>
      <c r="L15" s="241"/>
      <c r="M15" s="241">
        <f t="shared" si="0"/>
        <v>0</v>
      </c>
      <c r="N15" s="242">
        <f t="shared" si="0"/>
        <v>0</v>
      </c>
      <c r="P15" s="269">
        <f t="shared" si="1"/>
        <v>0</v>
      </c>
      <c r="BI15" s="281"/>
      <c r="BJ15" s="267"/>
      <c r="BK15" s="267"/>
      <c r="BL15" s="267"/>
    </row>
    <row r="16" spans="1:64" ht="14.1" customHeight="1" x14ac:dyDescent="0.25">
      <c r="B16" s="286" t="s">
        <v>409</v>
      </c>
      <c r="C16" s="287">
        <f>+A181</f>
        <v>4</v>
      </c>
      <c r="D16" s="288">
        <f>D199+('[15]Input Sheet'!D1531)</f>
        <v>748.92926908000163</v>
      </c>
      <c r="E16" s="289">
        <f>E199</f>
        <v>621.92883314599999</v>
      </c>
      <c r="F16" s="290">
        <f>F199</f>
        <v>431.95504896200032</v>
      </c>
      <c r="G16" s="290"/>
      <c r="H16" s="290">
        <v>621.92883314599806</v>
      </c>
      <c r="I16" s="276">
        <f t="shared" si="2"/>
        <v>-1.9326762412674725E-12</v>
      </c>
      <c r="J16" s="277"/>
      <c r="K16" s="278"/>
      <c r="L16" s="241"/>
      <c r="M16" s="283">
        <f t="shared" si="0"/>
        <v>127.00043593400164</v>
      </c>
      <c r="N16" s="242">
        <f t="shared" si="0"/>
        <v>189.97378418399967</v>
      </c>
      <c r="P16" s="269">
        <f t="shared" si="1"/>
        <v>127.00043593400164</v>
      </c>
      <c r="Q16" s="269" t="s">
        <v>410</v>
      </c>
      <c r="BI16" s="281"/>
      <c r="BJ16" s="267"/>
      <c r="BK16" s="267"/>
      <c r="BL16" s="267"/>
    </row>
    <row r="17" spans="1:64" s="297" customFormat="1" ht="14.1" customHeight="1" x14ac:dyDescent="0.25">
      <c r="A17" s="259"/>
      <c r="B17" s="291" t="s">
        <v>411</v>
      </c>
      <c r="C17" s="292"/>
      <c r="D17" s="293">
        <f>SUM(D6:D16)</f>
        <v>45627.08371752088</v>
      </c>
      <c r="E17" s="294">
        <f>SUM(E6:E16)</f>
        <v>48758.364490299733</v>
      </c>
      <c r="F17" s="295">
        <f>F6+SUM(F7:F16)</f>
        <v>42055.811810574</v>
      </c>
      <c r="G17" s="295"/>
      <c r="H17" s="295">
        <v>41547.571068564997</v>
      </c>
      <c r="I17" s="295"/>
      <c r="J17" s="277"/>
      <c r="K17" s="278"/>
      <c r="L17" s="296"/>
      <c r="M17" s="241"/>
      <c r="N17" s="242"/>
      <c r="P17" s="269">
        <f t="shared" si="1"/>
        <v>-3131.2807727788531</v>
      </c>
      <c r="AE17" s="243"/>
      <c r="BI17" s="281"/>
      <c r="BJ17" s="298"/>
      <c r="BK17" s="298"/>
      <c r="BL17" s="298"/>
    </row>
    <row r="18" spans="1:64" ht="14.1" customHeight="1" x14ac:dyDescent="0.25">
      <c r="B18" s="260" t="s">
        <v>186</v>
      </c>
      <c r="C18" s="261"/>
      <c r="D18" s="299"/>
      <c r="E18" s="300"/>
      <c r="F18" s="264"/>
      <c r="G18" s="264"/>
      <c r="H18" s="264"/>
      <c r="I18" s="264"/>
      <c r="J18" s="277"/>
      <c r="K18" s="278"/>
      <c r="L18" s="241"/>
      <c r="M18" s="241">
        <f t="shared" si="0"/>
        <v>0</v>
      </c>
      <c r="N18" s="242">
        <f t="shared" si="0"/>
        <v>0</v>
      </c>
      <c r="P18" s="269">
        <f t="shared" si="1"/>
        <v>0</v>
      </c>
      <c r="BJ18" s="267"/>
      <c r="BK18" s="267"/>
      <c r="BL18" s="267"/>
    </row>
    <row r="19" spans="1:64" ht="14.1" customHeight="1" x14ac:dyDescent="0.25">
      <c r="B19" s="272" t="s">
        <v>412</v>
      </c>
      <c r="C19" s="280">
        <f>+A201</f>
        <v>5</v>
      </c>
      <c r="D19" s="274">
        <f>D210</f>
        <v>2943.5795060349997</v>
      </c>
      <c r="E19" s="275">
        <f>E210</f>
        <v>2114.7825896700001</v>
      </c>
      <c r="F19" s="276">
        <f>F210</f>
        <v>1255.7611796319995</v>
      </c>
      <c r="G19" s="276"/>
      <c r="H19" s="276">
        <v>2114.7825896700001</v>
      </c>
      <c r="I19" s="276">
        <f t="shared" ref="I19:I25" si="4">+H19-E19</f>
        <v>0</v>
      </c>
      <c r="J19" s="277"/>
      <c r="K19" s="278"/>
      <c r="L19" s="241"/>
      <c r="M19" s="283">
        <f t="shared" si="0"/>
        <v>828.79691636499956</v>
      </c>
      <c r="N19" s="242">
        <f t="shared" si="0"/>
        <v>859.02141003800057</v>
      </c>
      <c r="P19" s="269">
        <f t="shared" si="1"/>
        <v>828.79691636499956</v>
      </c>
      <c r="Q19" s="269" t="s">
        <v>413</v>
      </c>
      <c r="BI19" s="281"/>
      <c r="BJ19" s="267"/>
      <c r="BK19" s="267"/>
      <c r="BL19" s="267"/>
    </row>
    <row r="20" spans="1:64" ht="14.1" customHeight="1" x14ac:dyDescent="0.25">
      <c r="B20" s="272" t="s">
        <v>402</v>
      </c>
      <c r="C20" s="261"/>
      <c r="D20" s="274"/>
      <c r="E20" s="275"/>
      <c r="F20" s="276"/>
      <c r="G20" s="276"/>
      <c r="H20" s="276"/>
      <c r="I20" s="276">
        <f t="shared" si="4"/>
        <v>0</v>
      </c>
      <c r="J20" s="277"/>
      <c r="K20" s="278"/>
      <c r="L20" s="241"/>
      <c r="M20" s="241">
        <f t="shared" si="0"/>
        <v>0</v>
      </c>
      <c r="N20" s="242">
        <f t="shared" si="0"/>
        <v>0</v>
      </c>
      <c r="P20" s="269">
        <f t="shared" si="1"/>
        <v>0</v>
      </c>
      <c r="BI20" s="281"/>
      <c r="BJ20" s="267"/>
      <c r="BK20" s="267"/>
      <c r="BL20" s="267"/>
    </row>
    <row r="21" spans="1:64" ht="14.1" customHeight="1" x14ac:dyDescent="0.25">
      <c r="B21" s="284" t="s">
        <v>414</v>
      </c>
      <c r="C21" s="280">
        <f>+A212</f>
        <v>6</v>
      </c>
      <c r="D21" s="274">
        <f>D217</f>
        <v>26924.051353812123</v>
      </c>
      <c r="E21" s="275">
        <f>E217</f>
        <v>22720.473888327273</v>
      </c>
      <c r="F21" s="276">
        <f>F217</f>
        <v>28457.271091587001</v>
      </c>
      <c r="G21" s="276">
        <f>+E21+E14</f>
        <v>29976.667707067005</v>
      </c>
      <c r="H21" s="276">
        <v>31567.394643867003</v>
      </c>
      <c r="I21" s="276">
        <f t="shared" si="4"/>
        <v>8846.9207555397297</v>
      </c>
      <c r="J21" s="277"/>
      <c r="K21" s="278"/>
      <c r="L21" s="241"/>
      <c r="M21" s="283">
        <f t="shared" si="0"/>
        <v>4203.5774654848501</v>
      </c>
      <c r="N21" s="242">
        <f t="shared" si="0"/>
        <v>-5736.7972032597281</v>
      </c>
      <c r="P21" s="269">
        <f t="shared" si="1"/>
        <v>4203.5774654848501</v>
      </c>
      <c r="Q21" s="269" t="s">
        <v>415</v>
      </c>
      <c r="BI21" s="281"/>
      <c r="BJ21" s="267"/>
      <c r="BK21" s="267"/>
      <c r="BL21" s="267"/>
    </row>
    <row r="22" spans="1:64" ht="14.1" customHeight="1" x14ac:dyDescent="0.25">
      <c r="B22" s="272" t="s">
        <v>416</v>
      </c>
      <c r="C22" s="280">
        <f>+A220</f>
        <v>7</v>
      </c>
      <c r="D22" s="274">
        <f>D225</f>
        <v>6.8494287649999981</v>
      </c>
      <c r="E22" s="275">
        <f>E225</f>
        <v>263.67808044699996</v>
      </c>
      <c r="F22" s="276">
        <f>F225</f>
        <v>11.787264494000002</v>
      </c>
      <c r="G22" s="276"/>
      <c r="H22" s="276">
        <v>263.67808044699996</v>
      </c>
      <c r="I22" s="276">
        <f t="shared" si="4"/>
        <v>0</v>
      </c>
      <c r="J22" s="277"/>
      <c r="K22" s="278"/>
      <c r="L22" s="241"/>
      <c r="M22" s="241">
        <f t="shared" si="0"/>
        <v>-256.82865168199999</v>
      </c>
      <c r="N22" s="242">
        <f t="shared" si="0"/>
        <v>251.89081595299996</v>
      </c>
      <c r="P22" s="269">
        <f t="shared" si="1"/>
        <v>-256.82865168199999</v>
      </c>
      <c r="BI22" s="281"/>
      <c r="BJ22" s="267"/>
      <c r="BK22" s="267"/>
      <c r="BL22" s="267"/>
    </row>
    <row r="23" spans="1:64" ht="14.1" customHeight="1" x14ac:dyDescent="0.25">
      <c r="B23" s="272" t="s">
        <v>417</v>
      </c>
      <c r="C23" s="280">
        <f>+A227</f>
        <v>8</v>
      </c>
      <c r="D23" s="274">
        <f>D232</f>
        <v>1.8876684990000001</v>
      </c>
      <c r="E23" s="275">
        <f>E232</f>
        <v>1.781401367</v>
      </c>
      <c r="F23" s="276">
        <f>F232</f>
        <v>5.3623333400000002</v>
      </c>
      <c r="G23" s="276"/>
      <c r="H23" s="276">
        <v>1.781401367</v>
      </c>
      <c r="I23" s="276">
        <f t="shared" si="4"/>
        <v>0</v>
      </c>
      <c r="J23" s="277"/>
      <c r="K23" s="278"/>
      <c r="L23" s="241"/>
      <c r="M23" s="283">
        <f t="shared" si="0"/>
        <v>0.10626713200000015</v>
      </c>
      <c r="N23" s="242">
        <f t="shared" si="0"/>
        <v>-3.5809319730000002</v>
      </c>
      <c r="P23" s="269">
        <f t="shared" si="1"/>
        <v>0.10626713200000015</v>
      </c>
      <c r="Q23" s="269" t="s">
        <v>418</v>
      </c>
      <c r="BI23" s="281"/>
      <c r="BJ23" s="267"/>
      <c r="BK23" s="267"/>
      <c r="BL23" s="267"/>
    </row>
    <row r="24" spans="1:64" ht="14.1" customHeight="1" x14ac:dyDescent="0.25">
      <c r="B24" s="272" t="s">
        <v>419</v>
      </c>
      <c r="C24" s="280">
        <f>+A234</f>
        <v>9</v>
      </c>
      <c r="D24" s="274">
        <f>D242</f>
        <v>515.13831682600005</v>
      </c>
      <c r="E24" s="275">
        <f>E242</f>
        <v>298.79666472300005</v>
      </c>
      <c r="F24" s="276">
        <f>F242</f>
        <v>296.33067327599997</v>
      </c>
      <c r="G24" s="276"/>
      <c r="H24" s="276">
        <v>326.40493493700001</v>
      </c>
      <c r="I24" s="276">
        <f t="shared" si="4"/>
        <v>27.608270213999958</v>
      </c>
      <c r="J24" s="277"/>
      <c r="K24" s="278"/>
      <c r="L24" s="241"/>
      <c r="M24" s="283">
        <f t="shared" si="0"/>
        <v>216.341652103</v>
      </c>
      <c r="N24" s="242">
        <f t="shared" si="0"/>
        <v>2.4659914470000786</v>
      </c>
      <c r="P24" s="269">
        <f t="shared" si="1"/>
        <v>216.341652103</v>
      </c>
      <c r="Q24" s="269" t="s">
        <v>415</v>
      </c>
      <c r="BI24" s="281"/>
      <c r="BJ24" s="267"/>
      <c r="BK24" s="267"/>
      <c r="BL24" s="267"/>
    </row>
    <row r="25" spans="1:64" ht="14.1" customHeight="1" x14ac:dyDescent="0.25">
      <c r="B25" s="272" t="s">
        <v>420</v>
      </c>
      <c r="C25" s="280">
        <f>+A244</f>
        <v>10</v>
      </c>
      <c r="D25" s="274">
        <f>D250</f>
        <v>832.79298728799995</v>
      </c>
      <c r="E25" s="275">
        <f>E250</f>
        <v>933.14046157000007</v>
      </c>
      <c r="F25" s="276">
        <f>F250</f>
        <v>924.69579108999983</v>
      </c>
      <c r="G25" s="276"/>
      <c r="H25" s="276">
        <v>905.532191356</v>
      </c>
      <c r="I25" s="276">
        <f t="shared" si="4"/>
        <v>-27.608270214000072</v>
      </c>
      <c r="J25" s="277"/>
      <c r="K25" s="278"/>
      <c r="L25" s="241"/>
      <c r="M25" s="283">
        <f t="shared" si="0"/>
        <v>-100.34747428200012</v>
      </c>
      <c r="N25" s="242">
        <f t="shared" si="0"/>
        <v>8.4446704800002408</v>
      </c>
      <c r="P25" s="269">
        <f t="shared" si="1"/>
        <v>-100.34747428200012</v>
      </c>
      <c r="Q25" s="269" t="s">
        <v>421</v>
      </c>
      <c r="BI25" s="281"/>
      <c r="BJ25" s="267"/>
      <c r="BK25" s="267"/>
      <c r="BL25" s="267"/>
    </row>
    <row r="26" spans="1:64" ht="14.1" customHeight="1" x14ac:dyDescent="0.25">
      <c r="B26" s="301" t="s">
        <v>422</v>
      </c>
      <c r="C26" s="302"/>
      <c r="D26" s="293">
        <f>SUM(D19:D25)</f>
        <v>31224.299261225122</v>
      </c>
      <c r="E26" s="294">
        <f t="shared" ref="E26:F26" si="5">SUM(E19:E25)</f>
        <v>26332.653086104274</v>
      </c>
      <c r="F26" s="295">
        <f t="shared" si="5"/>
        <v>30951.208333418996</v>
      </c>
      <c r="G26" s="295"/>
      <c r="H26" s="295">
        <v>35179.573841644007</v>
      </c>
      <c r="I26" s="295"/>
      <c r="J26" s="277"/>
      <c r="K26" s="278"/>
      <c r="L26" s="241"/>
      <c r="BI26" s="281"/>
      <c r="BJ26" s="267"/>
      <c r="BK26" s="267"/>
      <c r="BL26" s="267"/>
    </row>
    <row r="27" spans="1:64" ht="14.1" customHeight="1" x14ac:dyDescent="0.25">
      <c r="B27" s="260" t="s">
        <v>423</v>
      </c>
      <c r="C27" s="280"/>
      <c r="D27" s="303"/>
      <c r="E27" s="304"/>
      <c r="F27" s="290"/>
      <c r="G27" s="290"/>
      <c r="H27" s="290"/>
      <c r="I27" s="290"/>
      <c r="J27" s="277"/>
      <c r="K27" s="278"/>
      <c r="L27" s="241"/>
      <c r="M27" s="241">
        <f t="shared" si="0"/>
        <v>0</v>
      </c>
      <c r="BI27" s="281"/>
      <c r="BJ27" s="267"/>
      <c r="BK27" s="267"/>
      <c r="BL27" s="267"/>
    </row>
    <row r="28" spans="1:64" ht="14.1" customHeight="1" x14ac:dyDescent="0.25">
      <c r="B28" s="286" t="s">
        <v>424</v>
      </c>
      <c r="C28" s="305" t="s">
        <v>425</v>
      </c>
      <c r="D28" s="274">
        <f>'[15]Balance sheet groupings'!D91</f>
        <v>42.187014742999907</v>
      </c>
      <c r="E28" s="275">
        <f>'[15]Balance sheet groupings'!F91</f>
        <v>119.54817991200002</v>
      </c>
      <c r="F28" s="276">
        <v>121.03762497100001</v>
      </c>
      <c r="G28" s="276"/>
      <c r="H28" s="276">
        <v>119.54817991200002</v>
      </c>
      <c r="I28" s="276">
        <f t="shared" ref="I28" si="6">+H28-E28</f>
        <v>0</v>
      </c>
      <c r="J28" s="277"/>
      <c r="K28" s="278"/>
      <c r="L28" s="241"/>
      <c r="M28" s="283">
        <f t="shared" si="0"/>
        <v>-77.361165169000117</v>
      </c>
      <c r="N28" s="242">
        <f t="shared" si="0"/>
        <v>-1.4894450589999906</v>
      </c>
      <c r="P28" s="269">
        <f t="shared" si="1"/>
        <v>-77.361165169000117</v>
      </c>
      <c r="Q28" s="269" t="s">
        <v>426</v>
      </c>
      <c r="BI28" s="281"/>
      <c r="BJ28" s="267"/>
      <c r="BK28" s="267"/>
      <c r="BL28" s="267"/>
    </row>
    <row r="29" spans="1:64" s="297" customFormat="1" ht="14.1" customHeight="1" x14ac:dyDescent="0.25">
      <c r="A29" s="259"/>
      <c r="B29" s="301" t="s">
        <v>427</v>
      </c>
      <c r="C29" s="306"/>
      <c r="D29" s="293">
        <f>D28</f>
        <v>42.187014742999907</v>
      </c>
      <c r="E29" s="294">
        <f t="shared" ref="E29:F29" si="7">E28</f>
        <v>119.54817991200002</v>
      </c>
      <c r="F29" s="295">
        <f t="shared" si="7"/>
        <v>121.03762497100001</v>
      </c>
      <c r="G29" s="295"/>
      <c r="H29" s="295">
        <v>119.54817991200002</v>
      </c>
      <c r="I29" s="295"/>
      <c r="J29" s="277"/>
      <c r="K29" s="278"/>
      <c r="L29" s="296"/>
      <c r="M29" s="241"/>
      <c r="N29" s="242"/>
      <c r="P29" s="269">
        <f t="shared" si="1"/>
        <v>-77.361165169000117</v>
      </c>
      <c r="AE29" s="243"/>
      <c r="BI29" s="281"/>
      <c r="BJ29" s="307"/>
      <c r="BK29" s="307"/>
      <c r="BL29" s="307"/>
    </row>
    <row r="30" spans="1:64" s="297" customFormat="1" ht="14.1" customHeight="1" thickBot="1" x14ac:dyDescent="0.3">
      <c r="A30" s="259"/>
      <c r="B30" s="308" t="s">
        <v>428</v>
      </c>
      <c r="C30" s="309"/>
      <c r="D30" s="310">
        <f>D29+D17+D26</f>
        <v>76893.569993489</v>
      </c>
      <c r="E30" s="311">
        <f t="shared" ref="E30:F30" si="8">E29+E17+E26</f>
        <v>75210.565756316006</v>
      </c>
      <c r="F30" s="295">
        <f t="shared" si="8"/>
        <v>73128.057768964005</v>
      </c>
      <c r="G30" s="295"/>
      <c r="H30" s="295">
        <v>76846.693090121</v>
      </c>
      <c r="I30" s="295"/>
      <c r="J30" s="277"/>
      <c r="K30" s="278"/>
      <c r="L30" s="296"/>
      <c r="M30" s="241"/>
      <c r="N30" s="242"/>
      <c r="P30" s="269">
        <f t="shared" si="1"/>
        <v>1683.0042371729942</v>
      </c>
      <c r="AE30" s="243"/>
      <c r="BI30" s="281"/>
      <c r="BJ30" s="307"/>
      <c r="BK30" s="307"/>
      <c r="BL30" s="307"/>
    </row>
    <row r="31" spans="1:64" ht="14.1" customHeight="1" thickTop="1" x14ac:dyDescent="0.25">
      <c r="B31" s="260"/>
      <c r="C31" s="273"/>
      <c r="D31" s="312"/>
      <c r="E31" s="313"/>
      <c r="F31" s="314"/>
      <c r="G31" s="314"/>
      <c r="H31" s="314"/>
      <c r="I31" s="314"/>
      <c r="J31" s="277"/>
      <c r="K31" s="278"/>
      <c r="L31" s="241"/>
      <c r="N31" s="242">
        <f t="shared" si="0"/>
        <v>0</v>
      </c>
      <c r="P31" s="269">
        <f t="shared" si="1"/>
        <v>0</v>
      </c>
      <c r="BJ31" s="267"/>
      <c r="BK31" s="267"/>
      <c r="BL31" s="267"/>
    </row>
    <row r="32" spans="1:64" ht="14.1" customHeight="1" x14ac:dyDescent="0.25">
      <c r="B32" s="315" t="s">
        <v>429</v>
      </c>
      <c r="C32" s="273"/>
      <c r="D32" s="299"/>
      <c r="E32" s="300"/>
      <c r="F32" s="264"/>
      <c r="G32" s="264"/>
      <c r="H32" s="264"/>
      <c r="I32" s="264"/>
      <c r="J32" s="277"/>
      <c r="K32" s="278"/>
      <c r="L32" s="241"/>
      <c r="N32" s="242">
        <f t="shared" si="0"/>
        <v>0</v>
      </c>
      <c r="P32" s="269">
        <f t="shared" si="1"/>
        <v>0</v>
      </c>
      <c r="BJ32" s="267"/>
      <c r="BK32" s="267"/>
      <c r="BL32" s="267"/>
    </row>
    <row r="33" spans="1:66" ht="14.1" customHeight="1" x14ac:dyDescent="0.25">
      <c r="B33" s="260" t="s">
        <v>430</v>
      </c>
      <c r="C33" s="273"/>
      <c r="D33" s="316"/>
      <c r="E33" s="300"/>
      <c r="F33" s="264"/>
      <c r="G33" s="264"/>
      <c r="H33" s="264"/>
      <c r="I33" s="264"/>
      <c r="J33" s="277"/>
      <c r="K33" s="278"/>
      <c r="L33" s="241"/>
      <c r="N33" s="242">
        <f>+E33-F33</f>
        <v>0</v>
      </c>
      <c r="P33" s="269">
        <f>+D33-E33</f>
        <v>0</v>
      </c>
      <c r="BJ33" s="267"/>
      <c r="BK33" s="267"/>
      <c r="BL33" s="267"/>
    </row>
    <row r="34" spans="1:66" ht="14.1" customHeight="1" x14ac:dyDescent="0.25">
      <c r="B34" s="285" t="s">
        <v>431</v>
      </c>
      <c r="C34" s="282">
        <v>11</v>
      </c>
      <c r="D34" s="274">
        <f>'[15]Share Capital'!D22</f>
        <v>26115.397229399994</v>
      </c>
      <c r="E34" s="300">
        <f>'[15]Share Capital'!F22</f>
        <v>25918.496225999996</v>
      </c>
      <c r="F34" s="276">
        <v>25450.446225999996</v>
      </c>
      <c r="G34" s="317"/>
      <c r="H34" s="317">
        <v>25918.496225999996</v>
      </c>
      <c r="I34" s="276">
        <f t="shared" ref="I34:I35" si="9">+H34-E34</f>
        <v>0</v>
      </c>
      <c r="J34" s="277"/>
      <c r="K34" s="278"/>
      <c r="M34" s="318">
        <f>+D34-E34</f>
        <v>196.90100339999844</v>
      </c>
      <c r="N34" s="242">
        <f t="shared" si="0"/>
        <v>468.04999999999927</v>
      </c>
      <c r="P34" s="269">
        <f>+D34-E34</f>
        <v>196.90100339999844</v>
      </c>
      <c r="Q34" s="269" t="s">
        <v>432</v>
      </c>
      <c r="BI34" s="281"/>
      <c r="BJ34" s="267"/>
      <c r="BK34" s="267"/>
      <c r="BL34" s="267"/>
    </row>
    <row r="35" spans="1:66" x14ac:dyDescent="0.25">
      <c r="B35" s="285" t="s">
        <v>433</v>
      </c>
      <c r="C35" s="282">
        <f>+A252</f>
        <v>12</v>
      </c>
      <c r="D35" s="274">
        <f>D264</f>
        <v>-9967.0311808639726</v>
      </c>
      <c r="E35" s="275">
        <f>+E264</f>
        <v>-10109.698583866902</v>
      </c>
      <c r="F35" s="276">
        <v>-7755.0177741439893</v>
      </c>
      <c r="G35" s="317"/>
      <c r="H35" s="317">
        <v>-8942.7472974869852</v>
      </c>
      <c r="I35" s="276">
        <f t="shared" si="9"/>
        <v>1166.9512863799173</v>
      </c>
      <c r="J35" s="277">
        <f>+I35/2</f>
        <v>583.47564318995865</v>
      </c>
      <c r="K35" s="319"/>
      <c r="M35" s="241">
        <f t="shared" si="0"/>
        <v>142.66740300292986</v>
      </c>
      <c r="N35" s="242">
        <f t="shared" si="0"/>
        <v>-2354.6808097229132</v>
      </c>
      <c r="P35" s="269">
        <f t="shared" si="1"/>
        <v>142.66740300292986</v>
      </c>
      <c r="Q35" s="269" t="s">
        <v>434</v>
      </c>
      <c r="BI35" s="281"/>
      <c r="BJ35" s="267"/>
      <c r="BK35" s="267"/>
      <c r="BL35" s="267"/>
    </row>
    <row r="36" spans="1:66" hidden="1" x14ac:dyDescent="0.25">
      <c r="B36" s="285" t="s">
        <v>435</v>
      </c>
      <c r="C36" s="282"/>
      <c r="D36" s="303"/>
      <c r="E36" s="320"/>
      <c r="F36" s="290"/>
      <c r="G36" s="321"/>
      <c r="H36" s="321"/>
      <c r="I36" s="321"/>
      <c r="J36" s="277"/>
      <c r="K36" s="278"/>
      <c r="BI36" s="281"/>
      <c r="BJ36" s="267"/>
      <c r="BK36" s="267"/>
      <c r="BL36" s="267"/>
    </row>
    <row r="37" spans="1:66" hidden="1" x14ac:dyDescent="0.25">
      <c r="B37" s="285" t="s">
        <v>436</v>
      </c>
      <c r="C37" s="282"/>
      <c r="D37" s="303"/>
      <c r="E37" s="320"/>
      <c r="F37" s="290"/>
      <c r="G37" s="321"/>
      <c r="H37" s="321"/>
      <c r="I37" s="321"/>
      <c r="J37" s="277"/>
      <c r="K37" s="278"/>
      <c r="BI37" s="281"/>
      <c r="BJ37" s="267"/>
      <c r="BK37" s="267"/>
      <c r="BL37" s="267"/>
    </row>
    <row r="38" spans="1:66" s="297" customFormat="1" ht="14.1" customHeight="1" x14ac:dyDescent="0.25">
      <c r="A38" s="259"/>
      <c r="B38" s="322" t="s">
        <v>437</v>
      </c>
      <c r="C38" s="323"/>
      <c r="D38" s="293">
        <f>SUM(D34:D35)</f>
        <v>16148.366048536021</v>
      </c>
      <c r="E38" s="294">
        <f t="shared" ref="E38:F38" si="10">SUM(E34:E35)</f>
        <v>15808.797642133093</v>
      </c>
      <c r="F38" s="295">
        <f t="shared" si="10"/>
        <v>17695.428451856009</v>
      </c>
      <c r="G38" s="324"/>
      <c r="H38" s="324">
        <v>16975.74892851301</v>
      </c>
      <c r="I38" s="324"/>
      <c r="J38" s="277"/>
      <c r="K38" s="278"/>
      <c r="M38" s="241">
        <f>+D38-E38</f>
        <v>339.5684064029283</v>
      </c>
      <c r="N38" s="242"/>
      <c r="P38" s="269">
        <f t="shared" ref="P38:P58" si="11">+D38-E38</f>
        <v>339.5684064029283</v>
      </c>
      <c r="AE38" s="243"/>
      <c r="BI38" s="281"/>
      <c r="BJ38" s="325"/>
      <c r="BK38" s="325"/>
      <c r="BL38" s="325"/>
    </row>
    <row r="39" spans="1:66" ht="14.1" customHeight="1" x14ac:dyDescent="0.25">
      <c r="B39" s="326" t="s">
        <v>438</v>
      </c>
      <c r="C39" s="327"/>
      <c r="D39" s="274"/>
      <c r="E39" s="304"/>
      <c r="F39" s="290"/>
      <c r="G39" s="290"/>
      <c r="H39" s="290"/>
      <c r="I39" s="290"/>
      <c r="J39" s="277"/>
      <c r="K39" s="278"/>
      <c r="N39" s="242">
        <f t="shared" ref="N39:N56" si="12">+E39-F39</f>
        <v>0</v>
      </c>
      <c r="O39" s="269">
        <f>6679.59+E35</f>
        <v>-3430.1085838669023</v>
      </c>
      <c r="P39" s="269">
        <f t="shared" si="11"/>
        <v>0</v>
      </c>
      <c r="BJ39" s="267"/>
      <c r="BK39" s="267"/>
      <c r="BL39" s="267"/>
    </row>
    <row r="40" spans="1:66" ht="14.1" customHeight="1" x14ac:dyDescent="0.25">
      <c r="B40" s="326" t="s">
        <v>439</v>
      </c>
      <c r="C40" s="327"/>
      <c r="D40" s="274"/>
      <c r="E40" s="304"/>
      <c r="F40" s="290"/>
      <c r="G40" s="290"/>
      <c r="H40" s="290"/>
      <c r="I40" s="290"/>
      <c r="J40" s="277"/>
      <c r="K40" s="278"/>
      <c r="N40" s="242">
        <f t="shared" si="12"/>
        <v>0</v>
      </c>
      <c r="P40" s="269">
        <f t="shared" si="11"/>
        <v>0</v>
      </c>
      <c r="BJ40" s="267"/>
      <c r="BK40" s="267"/>
      <c r="BL40" s="267"/>
    </row>
    <row r="41" spans="1:66" ht="14.1" customHeight="1" x14ac:dyDescent="0.25">
      <c r="B41" s="285" t="s">
        <v>440</v>
      </c>
      <c r="C41" s="327"/>
      <c r="D41" s="274"/>
      <c r="E41" s="304"/>
      <c r="F41" s="290"/>
      <c r="G41" s="290"/>
      <c r="H41" s="290"/>
      <c r="I41" s="290"/>
      <c r="J41" s="277"/>
      <c r="K41" s="278"/>
      <c r="L41" s="241"/>
      <c r="N41" s="242">
        <f t="shared" si="12"/>
        <v>0</v>
      </c>
      <c r="P41" s="269">
        <f t="shared" si="11"/>
        <v>0</v>
      </c>
      <c r="BJ41" s="267"/>
      <c r="BK41" s="267"/>
      <c r="BL41" s="267"/>
      <c r="BN41" s="328"/>
    </row>
    <row r="42" spans="1:66" ht="14.1" customHeight="1" x14ac:dyDescent="0.25">
      <c r="B42" s="285" t="s">
        <v>441</v>
      </c>
      <c r="C42" s="282">
        <f>+A266</f>
        <v>13</v>
      </c>
      <c r="D42" s="274">
        <f>D280</f>
        <v>24724.542599953405</v>
      </c>
      <c r="E42" s="275">
        <f>E280</f>
        <v>24687.339384897423</v>
      </c>
      <c r="F42" s="276">
        <f>F280</f>
        <v>22211.191210778834</v>
      </c>
      <c r="G42" s="276"/>
      <c r="H42" s="276">
        <v>24687.339384897426</v>
      </c>
      <c r="I42" s="276">
        <f t="shared" ref="I42:I46" si="13">+H42-E42</f>
        <v>0</v>
      </c>
      <c r="J42" s="277"/>
      <c r="K42" s="278"/>
      <c r="L42" s="241"/>
      <c r="M42" s="329">
        <f t="shared" si="0"/>
        <v>37.203215055982582</v>
      </c>
      <c r="N42" s="242">
        <f t="shared" si="12"/>
        <v>2476.1481741185889</v>
      </c>
      <c r="P42" s="269">
        <f t="shared" si="11"/>
        <v>37.203215055982582</v>
      </c>
      <c r="Q42" s="269" t="s">
        <v>442</v>
      </c>
      <c r="BI42" s="281"/>
      <c r="BJ42" s="267"/>
      <c r="BK42" s="267"/>
      <c r="BL42" s="267"/>
      <c r="BN42" s="328"/>
    </row>
    <row r="43" spans="1:66" ht="14.1" customHeight="1" x14ac:dyDescent="0.25">
      <c r="B43" s="285" t="s">
        <v>443</v>
      </c>
      <c r="C43" s="282" t="str">
        <f>+A284</f>
        <v>13A</v>
      </c>
      <c r="D43" s="274">
        <f>D286</f>
        <v>2858.522720325645</v>
      </c>
      <c r="E43" s="275">
        <f t="shared" ref="E43:F43" si="14">E286</f>
        <v>2926.5594399255865</v>
      </c>
      <c r="F43" s="276">
        <f t="shared" si="14"/>
        <v>3069.8995987232825</v>
      </c>
      <c r="G43" s="276"/>
      <c r="H43" s="276">
        <v>2926.5594399255865</v>
      </c>
      <c r="I43" s="276">
        <f t="shared" si="13"/>
        <v>0</v>
      </c>
      <c r="J43" s="277"/>
      <c r="K43" s="278"/>
      <c r="L43" s="241"/>
      <c r="M43" s="330">
        <f t="shared" si="0"/>
        <v>-68.036719599941534</v>
      </c>
      <c r="N43" s="242">
        <f t="shared" si="12"/>
        <v>-143.34015879769595</v>
      </c>
      <c r="BI43" s="281"/>
      <c r="BJ43" s="267"/>
      <c r="BK43" s="267"/>
      <c r="BL43" s="267"/>
      <c r="BN43" s="328"/>
    </row>
    <row r="44" spans="1:66" ht="14.1" customHeight="1" x14ac:dyDescent="0.25">
      <c r="B44" s="285" t="s">
        <v>444</v>
      </c>
      <c r="C44" s="282">
        <f>+A288</f>
        <v>14</v>
      </c>
      <c r="D44" s="274">
        <f>D291</f>
        <v>1504.1542353</v>
      </c>
      <c r="E44" s="275">
        <f>+E291</f>
        <v>1153.4486072999998</v>
      </c>
      <c r="F44" s="276">
        <f>+F291</f>
        <v>1111.5373132</v>
      </c>
      <c r="G44" s="276"/>
      <c r="H44" s="276">
        <v>1153.4486072999998</v>
      </c>
      <c r="I44" s="276">
        <f t="shared" si="13"/>
        <v>0</v>
      </c>
      <c r="J44" s="277"/>
      <c r="K44" s="278"/>
      <c r="L44" s="241"/>
      <c r="M44" s="330">
        <f t="shared" si="0"/>
        <v>350.70562800000016</v>
      </c>
      <c r="N44" s="242">
        <f t="shared" si="12"/>
        <v>41.91129409999985</v>
      </c>
      <c r="P44" s="269">
        <f t="shared" si="11"/>
        <v>350.70562800000016</v>
      </c>
      <c r="BI44" s="281"/>
      <c r="BJ44" s="267"/>
      <c r="BK44" s="267"/>
      <c r="BL44" s="267"/>
      <c r="BN44" s="328"/>
    </row>
    <row r="45" spans="1:66" ht="14.1" customHeight="1" x14ac:dyDescent="0.25">
      <c r="B45" s="285" t="s">
        <v>445</v>
      </c>
      <c r="C45" s="327">
        <v>15</v>
      </c>
      <c r="D45" s="274">
        <f>(IF('[15]Input Sheet'!R1073&lt;0,-'[15]Input Sheet'!R1073,0))+('[15]Revise def tax'!E85/10^7*0)</f>
        <v>69.678318899999994</v>
      </c>
      <c r="E45" s="275">
        <f>'[15]Revise def tax'!E37/10^7+334.29*0</f>
        <v>-69.61437304908047</v>
      </c>
      <c r="F45" s="276">
        <v>556.66773599999999</v>
      </c>
      <c r="G45" s="276"/>
      <c r="H45" s="276">
        <v>334.28806329999998</v>
      </c>
      <c r="I45" s="276">
        <f t="shared" si="13"/>
        <v>403.90243634908046</v>
      </c>
      <c r="J45" s="277"/>
      <c r="K45" s="278">
        <v>69.678318848580929</v>
      </c>
      <c r="L45" s="241"/>
      <c r="M45" s="330">
        <f t="shared" si="0"/>
        <v>139.29269194908045</v>
      </c>
      <c r="N45" s="242">
        <f t="shared" si="12"/>
        <v>-626.28210904908042</v>
      </c>
      <c r="P45" s="269">
        <f t="shared" si="11"/>
        <v>139.29269194908045</v>
      </c>
      <c r="Q45" s="269" t="s">
        <v>446</v>
      </c>
      <c r="BI45" s="281"/>
      <c r="BJ45" s="267"/>
      <c r="BK45" s="267"/>
      <c r="BL45" s="267"/>
      <c r="BN45" s="328"/>
    </row>
    <row r="46" spans="1:66" ht="14.1" customHeight="1" x14ac:dyDescent="0.25">
      <c r="B46" s="285" t="s">
        <v>447</v>
      </c>
      <c r="C46" s="282">
        <f>+A293</f>
        <v>16</v>
      </c>
      <c r="D46" s="274">
        <f>D297+SUM('[15]Input Sheet'!Q549:Q594)</f>
        <v>849.92103283900008</v>
      </c>
      <c r="E46" s="275">
        <f>+E297</f>
        <v>654.67374213900007</v>
      </c>
      <c r="F46" s="276">
        <f>+F297</f>
        <v>289.46240933900003</v>
      </c>
      <c r="G46" s="276"/>
      <c r="H46" s="276">
        <v>654.67374213900007</v>
      </c>
      <c r="I46" s="276">
        <f t="shared" si="13"/>
        <v>0</v>
      </c>
      <c r="J46" s="277"/>
      <c r="K46" s="319">
        <f>D45-K45</f>
        <v>5.1419064561741834E-8</v>
      </c>
      <c r="L46" s="241"/>
      <c r="M46" s="330">
        <f t="shared" si="0"/>
        <v>195.24729070000001</v>
      </c>
      <c r="N46" s="242">
        <f t="shared" si="12"/>
        <v>365.21133280000004</v>
      </c>
      <c r="P46" s="269">
        <f t="shared" si="11"/>
        <v>195.24729070000001</v>
      </c>
      <c r="BI46" s="281"/>
      <c r="BJ46" s="267"/>
      <c r="BK46" s="267"/>
      <c r="BL46" s="267"/>
      <c r="BN46" s="328"/>
    </row>
    <row r="47" spans="1:66" s="297" customFormat="1" ht="14.1" customHeight="1" x14ac:dyDescent="0.25">
      <c r="A47" s="259"/>
      <c r="B47" s="331" t="s">
        <v>448</v>
      </c>
      <c r="C47" s="332"/>
      <c r="D47" s="293">
        <f>SUM(D42:D46)</f>
        <v>30006.818907318051</v>
      </c>
      <c r="E47" s="294">
        <f>SUM(E42:E46)</f>
        <v>29352.406801212928</v>
      </c>
      <c r="F47" s="295">
        <f>SUM(F42:F46)</f>
        <v>27238.758268041114</v>
      </c>
      <c r="G47" s="295"/>
      <c r="H47" s="295">
        <v>29756.309237562011</v>
      </c>
      <c r="I47" s="295"/>
      <c r="J47" s="277"/>
      <c r="K47" s="278"/>
      <c r="L47" s="296"/>
      <c r="M47" s="241"/>
      <c r="N47" s="242"/>
      <c r="P47" s="269">
        <f t="shared" si="11"/>
        <v>654.4121061051228</v>
      </c>
      <c r="AE47" s="243"/>
      <c r="BI47" s="281"/>
      <c r="BJ47" s="298"/>
      <c r="BK47" s="298"/>
      <c r="BL47" s="298"/>
      <c r="BN47" s="333"/>
    </row>
    <row r="48" spans="1:66" ht="14.1" customHeight="1" x14ac:dyDescent="0.25">
      <c r="B48" s="326" t="s">
        <v>100</v>
      </c>
      <c r="C48" s="327"/>
      <c r="D48" s="274"/>
      <c r="E48" s="304"/>
      <c r="F48" s="290"/>
      <c r="G48" s="290"/>
      <c r="H48" s="290"/>
      <c r="I48" s="290"/>
      <c r="J48" s="334"/>
      <c r="K48" s="278"/>
      <c r="L48" s="241"/>
      <c r="N48" s="242">
        <f t="shared" si="12"/>
        <v>0</v>
      </c>
      <c r="P48" s="269">
        <f t="shared" si="11"/>
        <v>0</v>
      </c>
      <c r="BJ48" s="267"/>
      <c r="BK48" s="267"/>
      <c r="BL48" s="267"/>
      <c r="BN48" s="328"/>
    </row>
    <row r="49" spans="1:66" ht="14.1" customHeight="1" x14ac:dyDescent="0.25">
      <c r="B49" s="285" t="s">
        <v>440</v>
      </c>
      <c r="C49" s="327"/>
      <c r="D49" s="274"/>
      <c r="E49" s="304"/>
      <c r="F49" s="290"/>
      <c r="G49" s="290"/>
      <c r="H49" s="290"/>
      <c r="I49" s="290"/>
      <c r="J49" s="277"/>
      <c r="K49" s="278"/>
      <c r="L49" s="241"/>
      <c r="N49" s="242">
        <f t="shared" si="12"/>
        <v>0</v>
      </c>
      <c r="P49" s="269">
        <f t="shared" si="11"/>
        <v>0</v>
      </c>
      <c r="BJ49" s="267"/>
      <c r="BK49" s="267"/>
      <c r="BL49" s="267"/>
    </row>
    <row r="50" spans="1:66" ht="14.1" customHeight="1" x14ac:dyDescent="0.25">
      <c r="B50" s="285" t="s">
        <v>441</v>
      </c>
      <c r="C50" s="282">
        <f>+A299</f>
        <v>17</v>
      </c>
      <c r="D50" s="274">
        <f>D311</f>
        <v>16043.894236554601</v>
      </c>
      <c r="E50" s="275">
        <f>E311</f>
        <v>17272.729860049571</v>
      </c>
      <c r="F50" s="276">
        <f>F311</f>
        <v>17299.429266224168</v>
      </c>
      <c r="G50" s="276"/>
      <c r="H50" s="276">
        <v>17272.729860049567</v>
      </c>
      <c r="I50" s="276">
        <f t="shared" ref="I50:I56" si="15">+H50-E50</f>
        <v>0</v>
      </c>
      <c r="J50" s="335"/>
      <c r="K50" s="278"/>
      <c r="L50" s="241"/>
      <c r="M50" s="241">
        <f t="shared" si="0"/>
        <v>-1228.8356234949697</v>
      </c>
      <c r="N50" s="242">
        <f>+E50-F50</f>
        <v>-26.699406174597243</v>
      </c>
      <c r="P50" s="269">
        <f t="shared" si="11"/>
        <v>-1228.8356234949697</v>
      </c>
      <c r="Q50" s="269" t="s">
        <v>449</v>
      </c>
      <c r="BI50" s="281"/>
      <c r="BJ50" s="267"/>
      <c r="BK50" s="267"/>
      <c r="BL50" s="267"/>
    </row>
    <row r="51" spans="1:66" ht="14.1" customHeight="1" x14ac:dyDescent="0.25">
      <c r="B51" s="285" t="s">
        <v>443</v>
      </c>
      <c r="C51" s="282" t="str">
        <f>+A315</f>
        <v>17A</v>
      </c>
      <c r="D51" s="274">
        <f>D317</f>
        <v>173.91196567135512</v>
      </c>
      <c r="E51" s="275">
        <f t="shared" ref="E51:F51" si="16">E317</f>
        <v>143.34015883641399</v>
      </c>
      <c r="F51" s="276">
        <f t="shared" si="16"/>
        <v>161.37657508971779</v>
      </c>
      <c r="G51" s="276"/>
      <c r="H51" s="276">
        <v>143.34015883641359</v>
      </c>
      <c r="I51" s="276">
        <f t="shared" si="15"/>
        <v>-3.979039320256561E-13</v>
      </c>
      <c r="J51" s="277"/>
      <c r="K51" s="278"/>
      <c r="L51" s="241"/>
      <c r="M51" s="330">
        <f t="shared" si="0"/>
        <v>30.571806834941128</v>
      </c>
      <c r="N51" s="242">
        <f t="shared" si="0"/>
        <v>-18.036416253303798</v>
      </c>
      <c r="BI51" s="281"/>
      <c r="BJ51" s="267"/>
      <c r="BK51" s="267"/>
      <c r="BL51" s="267"/>
    </row>
    <row r="52" spans="1:66" ht="14.1" customHeight="1" x14ac:dyDescent="0.25">
      <c r="B52" s="285" t="s">
        <v>450</v>
      </c>
      <c r="C52" s="282">
        <v>18</v>
      </c>
      <c r="D52" s="274">
        <f>+D320</f>
        <v>1.85664096065643</v>
      </c>
      <c r="E52" s="275">
        <f t="shared" ref="E52:F53" si="17">+E320</f>
        <v>1.00184668666744</v>
      </c>
      <c r="F52" s="276">
        <f t="shared" si="17"/>
        <v>1.9636041497979999</v>
      </c>
      <c r="G52" s="276"/>
      <c r="H52" s="276">
        <v>0.21883079999999999</v>
      </c>
      <c r="I52" s="276">
        <f t="shared" si="15"/>
        <v>-0.78301588666744004</v>
      </c>
      <c r="J52" s="277"/>
      <c r="K52" s="278"/>
      <c r="L52" s="241"/>
      <c r="M52" s="330">
        <f t="shared" si="0"/>
        <v>0.85479427398898999</v>
      </c>
      <c r="N52" s="242">
        <f t="shared" si="12"/>
        <v>-0.96175746313055988</v>
      </c>
      <c r="P52" s="269">
        <f t="shared" si="11"/>
        <v>0.85479427398898999</v>
      </c>
      <c r="BI52" s="281"/>
      <c r="BJ52" s="267"/>
      <c r="BK52" s="267"/>
      <c r="BL52" s="267"/>
    </row>
    <row r="53" spans="1:66" ht="14.1" customHeight="1" x14ac:dyDescent="0.25">
      <c r="B53" s="285" t="s">
        <v>451</v>
      </c>
      <c r="C53" s="282">
        <f>+A319</f>
        <v>18</v>
      </c>
      <c r="D53" s="274">
        <f>+D321</f>
        <v>9747.6502665793432</v>
      </c>
      <c r="E53" s="275">
        <f t="shared" si="17"/>
        <v>8102.1865365563317</v>
      </c>
      <c r="F53" s="276">
        <f t="shared" si="17"/>
        <v>6651.4754589652011</v>
      </c>
      <c r="G53" s="276"/>
      <c r="H53" s="276">
        <v>8102.969552442999</v>
      </c>
      <c r="I53" s="276">
        <f t="shared" si="15"/>
        <v>0.78301588666727184</v>
      </c>
      <c r="J53" s="277"/>
      <c r="K53" s="278"/>
      <c r="L53" s="241"/>
      <c r="M53" s="330">
        <f t="shared" si="0"/>
        <v>1645.4637300230115</v>
      </c>
      <c r="N53" s="336">
        <f t="shared" si="12"/>
        <v>1450.7110775911306</v>
      </c>
      <c r="P53" s="269">
        <f t="shared" si="11"/>
        <v>1645.4637300230115</v>
      </c>
      <c r="Q53" s="269" t="s">
        <v>421</v>
      </c>
      <c r="BI53" s="281"/>
      <c r="BJ53" s="267"/>
      <c r="BK53" s="267"/>
      <c r="BL53" s="267"/>
      <c r="BN53" s="337"/>
    </row>
    <row r="54" spans="1:66" ht="14.1" customHeight="1" x14ac:dyDescent="0.25">
      <c r="B54" s="285" t="s">
        <v>452</v>
      </c>
      <c r="C54" s="282">
        <f>+A324</f>
        <v>19</v>
      </c>
      <c r="D54" s="274">
        <f>D335</f>
        <v>4333.5231469929995</v>
      </c>
      <c r="E54" s="275">
        <f>E335</f>
        <v>4108.6721583640001</v>
      </c>
      <c r="F54" s="276">
        <f>F335</f>
        <v>3700.7722904539996</v>
      </c>
      <c r="G54" s="276"/>
      <c r="H54" s="276">
        <v>4173.9457693559998</v>
      </c>
      <c r="I54" s="276">
        <f t="shared" si="15"/>
        <v>65.273610991999703</v>
      </c>
      <c r="J54" s="277"/>
      <c r="K54" s="278"/>
      <c r="L54" s="241"/>
      <c r="M54" s="330">
        <f t="shared" si="0"/>
        <v>224.8509886289994</v>
      </c>
      <c r="N54" s="336">
        <f t="shared" si="12"/>
        <v>407.89986791000047</v>
      </c>
      <c r="P54" s="269">
        <f t="shared" si="11"/>
        <v>224.8509886289994</v>
      </c>
      <c r="Q54" s="269" t="s">
        <v>453</v>
      </c>
      <c r="BI54" s="281"/>
      <c r="BJ54" s="267"/>
      <c r="BK54" s="267"/>
      <c r="BL54" s="267"/>
    </row>
    <row r="55" spans="1:66" ht="14.1" customHeight="1" x14ac:dyDescent="0.25">
      <c r="B55" s="285" t="s">
        <v>454</v>
      </c>
      <c r="C55" s="282">
        <f>+A337</f>
        <v>20</v>
      </c>
      <c r="D55" s="274">
        <f>D347</f>
        <v>154.90500698400001</v>
      </c>
      <c r="E55" s="275">
        <f>E347</f>
        <v>182.35702072499998</v>
      </c>
      <c r="F55" s="276">
        <f>F347</f>
        <v>113.63238639800001</v>
      </c>
      <c r="G55" s="276"/>
      <c r="H55" s="276">
        <v>182.35702072499998</v>
      </c>
      <c r="I55" s="276">
        <f t="shared" si="15"/>
        <v>0</v>
      </c>
      <c r="J55" s="277"/>
      <c r="K55" s="278"/>
      <c r="L55" s="241"/>
      <c r="M55" s="330">
        <f t="shared" si="0"/>
        <v>-27.452013740999973</v>
      </c>
      <c r="N55" s="336">
        <f t="shared" si="12"/>
        <v>68.724634326999976</v>
      </c>
      <c r="P55" s="269">
        <f t="shared" si="11"/>
        <v>-27.452013740999973</v>
      </c>
      <c r="BI55" s="281"/>
      <c r="BJ55" s="267"/>
      <c r="BK55" s="267"/>
      <c r="BL55" s="267"/>
    </row>
    <row r="56" spans="1:66" ht="14.1" customHeight="1" x14ac:dyDescent="0.25">
      <c r="B56" s="285" t="s">
        <v>444</v>
      </c>
      <c r="C56" s="282">
        <f>+A349</f>
        <v>21</v>
      </c>
      <c r="D56" s="274">
        <f>D352</f>
        <v>282.64378577200011</v>
      </c>
      <c r="E56" s="275">
        <f>E352</f>
        <v>239.07374370900004</v>
      </c>
      <c r="F56" s="276">
        <f>F352</f>
        <v>265.22147626999993</v>
      </c>
      <c r="G56" s="276"/>
      <c r="H56" s="276">
        <v>239.07374370900004</v>
      </c>
      <c r="I56" s="276">
        <f t="shared" si="15"/>
        <v>0</v>
      </c>
      <c r="J56" s="277"/>
      <c r="K56" s="278"/>
      <c r="L56" s="241"/>
      <c r="M56" s="330">
        <f t="shared" si="0"/>
        <v>43.570042063000074</v>
      </c>
      <c r="N56" s="336">
        <f t="shared" si="12"/>
        <v>-26.147732560999884</v>
      </c>
      <c r="P56" s="269">
        <f t="shared" si="11"/>
        <v>43.570042063000074</v>
      </c>
      <c r="Q56" s="269" t="s">
        <v>455</v>
      </c>
      <c r="BJ56" s="267"/>
      <c r="BK56" s="267"/>
      <c r="BL56" s="267"/>
    </row>
    <row r="57" spans="1:66" s="297" customFormat="1" ht="14.1" customHeight="1" x14ac:dyDescent="0.25">
      <c r="A57" s="259"/>
      <c r="B57" s="338" t="s">
        <v>456</v>
      </c>
      <c r="C57" s="339"/>
      <c r="D57" s="293">
        <f>SUM(D50:D56)</f>
        <v>30738.38504951496</v>
      </c>
      <c r="E57" s="294">
        <f>SUM(E50:E56)</f>
        <v>30049.361324926984</v>
      </c>
      <c r="F57" s="295">
        <f>SUM(F50:F56)</f>
        <v>28193.871057550881</v>
      </c>
      <c r="G57" s="295"/>
      <c r="H57" s="295">
        <v>30114.634935918981</v>
      </c>
      <c r="I57" s="295"/>
      <c r="J57" s="277"/>
      <c r="K57" s="278"/>
      <c r="L57" s="296"/>
      <c r="M57" s="241"/>
      <c r="N57" s="242"/>
      <c r="P57" s="269">
        <f t="shared" si="11"/>
        <v>689.02372458797618</v>
      </c>
      <c r="AE57" s="243"/>
      <c r="BI57" s="281"/>
      <c r="BJ57" s="340"/>
      <c r="BK57" s="340"/>
      <c r="BL57" s="340"/>
    </row>
    <row r="58" spans="1:66" s="297" customFormat="1" ht="15.75" thickBot="1" x14ac:dyDescent="0.3">
      <c r="A58" s="259"/>
      <c r="B58" s="341" t="s">
        <v>457</v>
      </c>
      <c r="C58" s="342"/>
      <c r="D58" s="310">
        <f>D57+D47+D38</f>
        <v>76893.570005369023</v>
      </c>
      <c r="E58" s="311">
        <f>E57+E47+E38</f>
        <v>75210.565768273009</v>
      </c>
      <c r="F58" s="295">
        <f>F57+F47+F38</f>
        <v>73128.057777448004</v>
      </c>
      <c r="G58" s="295"/>
      <c r="H58" s="295">
        <v>76846.693101994009</v>
      </c>
      <c r="I58" s="295"/>
      <c r="J58" s="277"/>
      <c r="K58" s="278"/>
      <c r="L58" s="343"/>
      <c r="M58" s="241"/>
      <c r="N58" s="242"/>
      <c r="P58" s="269">
        <f t="shared" si="11"/>
        <v>1683.0042370960145</v>
      </c>
      <c r="AE58" s="243"/>
      <c r="BI58" s="281"/>
      <c r="BJ58" s="344"/>
      <c r="BK58" s="344"/>
      <c r="BL58" s="344"/>
    </row>
    <row r="59" spans="1:66" s="349" customFormat="1" ht="26.25" customHeight="1" thickTop="1" x14ac:dyDescent="0.25">
      <c r="A59" s="345"/>
      <c r="B59" s="1917" t="s">
        <v>458</v>
      </c>
      <c r="C59" s="1918"/>
      <c r="D59" s="1918"/>
      <c r="E59" s="1919"/>
      <c r="F59" s="346"/>
      <c r="G59" s="347"/>
      <c r="H59" s="347"/>
      <c r="I59" s="347"/>
      <c r="J59" s="348">
        <f>E59-F59</f>
        <v>0</v>
      </c>
      <c r="K59" s="278"/>
      <c r="L59" s="268"/>
      <c r="M59" s="241">
        <f>SUM(M6:M58)</f>
        <v>3705.5768806719489</v>
      </c>
      <c r="N59" s="241">
        <f>SUM(N6:N58)</f>
        <v>4165.0159781770035</v>
      </c>
      <c r="AE59" s="243"/>
      <c r="BI59" s="350"/>
      <c r="BJ59" s="267"/>
    </row>
    <row r="60" spans="1:66" s="349" customFormat="1" ht="15.75" x14ac:dyDescent="0.25">
      <c r="A60" s="345"/>
      <c r="B60" s="351" t="s">
        <v>459</v>
      </c>
      <c r="C60" s="352"/>
      <c r="D60" s="353">
        <f>D58-D30</f>
        <v>1.1880023521371186E-5</v>
      </c>
      <c r="E60" s="354">
        <f>E58-E30</f>
        <v>1.1957003152929246E-5</v>
      </c>
      <c r="F60" s="355">
        <f>F58-F30</f>
        <v>8.4839994087815285E-6</v>
      </c>
      <c r="G60" s="243"/>
      <c r="H60" s="243"/>
      <c r="I60" s="243"/>
      <c r="J60" s="243"/>
      <c r="K60" s="267"/>
      <c r="L60" s="356"/>
      <c r="M60" s="241"/>
      <c r="AE60" s="243"/>
      <c r="BJ60" s="267"/>
    </row>
    <row r="61" spans="1:66" s="349" customFormat="1" ht="15.75" x14ac:dyDescent="0.25">
      <c r="A61" s="345"/>
      <c r="B61" s="357" t="s">
        <v>460</v>
      </c>
      <c r="C61" s="358" t="s">
        <v>461</v>
      </c>
      <c r="D61" s="359"/>
      <c r="E61" s="360"/>
      <c r="F61" s="361"/>
      <c r="G61" s="362"/>
      <c r="H61" s="362"/>
      <c r="I61" s="362"/>
      <c r="J61" s="363"/>
      <c r="K61" s="267"/>
      <c r="L61" s="268"/>
      <c r="M61" s="241"/>
      <c r="AE61" s="243"/>
      <c r="BJ61" s="267"/>
    </row>
    <row r="62" spans="1:66" s="349" customFormat="1" ht="15.75" x14ac:dyDescent="0.25">
      <c r="A62" s="345"/>
      <c r="B62" s="351" t="s">
        <v>462</v>
      </c>
      <c r="C62" s="243"/>
      <c r="D62" s="359"/>
      <c r="E62" s="360"/>
      <c r="F62" s="364"/>
      <c r="G62" s="365"/>
      <c r="H62" s="365"/>
      <c r="I62" s="365"/>
      <c r="J62" s="363"/>
      <c r="K62" s="267"/>
      <c r="L62" s="268"/>
      <c r="M62" s="241"/>
      <c r="AE62" s="243"/>
      <c r="BJ62" s="267"/>
    </row>
    <row r="63" spans="1:66" s="349" customFormat="1" ht="15.75" x14ac:dyDescent="0.25">
      <c r="A63" s="345"/>
      <c r="B63" s="351" t="s">
        <v>463</v>
      </c>
      <c r="C63" s="243"/>
      <c r="D63" s="366"/>
      <c r="E63" s="367"/>
      <c r="F63" s="368"/>
      <c r="G63" s="243"/>
      <c r="H63" s="243"/>
      <c r="I63" s="243"/>
      <c r="J63" s="363"/>
      <c r="K63" s="267"/>
      <c r="L63" s="268"/>
      <c r="M63" s="241"/>
      <c r="AE63" s="243"/>
      <c r="BJ63" s="267"/>
    </row>
    <row r="64" spans="1:66" s="349" customFormat="1" ht="30" customHeight="1" x14ac:dyDescent="0.25">
      <c r="A64" s="345"/>
      <c r="B64" s="351"/>
      <c r="C64" s="243"/>
      <c r="D64" s="366"/>
      <c r="E64" s="367"/>
      <c r="F64" s="364"/>
      <c r="G64" s="365"/>
      <c r="H64" s="365"/>
      <c r="I64" s="365"/>
      <c r="J64" s="363"/>
      <c r="K64" s="267"/>
      <c r="L64" s="268"/>
      <c r="M64" s="241"/>
      <c r="AE64" s="243"/>
      <c r="BJ64" s="267"/>
    </row>
    <row r="65" spans="1:64" s="349" customFormat="1" ht="15.75" x14ac:dyDescent="0.25">
      <c r="A65" s="345"/>
      <c r="B65" s="369" t="s">
        <v>464</v>
      </c>
      <c r="C65" s="243"/>
      <c r="D65" s="366"/>
      <c r="E65" s="367"/>
      <c r="F65" s="364"/>
      <c r="G65" s="365"/>
      <c r="H65" s="365"/>
      <c r="I65" s="365"/>
      <c r="J65" s="363"/>
      <c r="K65" s="267"/>
      <c r="L65" s="268"/>
      <c r="M65" s="241"/>
      <c r="AE65" s="243"/>
      <c r="BJ65" s="267"/>
    </row>
    <row r="66" spans="1:64" s="349" customFormat="1" ht="15.75" x14ac:dyDescent="0.25">
      <c r="A66" s="345"/>
      <c r="B66" s="369" t="s">
        <v>465</v>
      </c>
      <c r="C66" s="370" t="s">
        <v>466</v>
      </c>
      <c r="D66" s="366"/>
      <c r="E66" s="371" t="s">
        <v>467</v>
      </c>
      <c r="F66" s="368"/>
      <c r="G66" s="243"/>
      <c r="H66" s="243"/>
      <c r="I66" s="243"/>
      <c r="K66" s="267"/>
      <c r="L66" s="268"/>
      <c r="M66" s="241"/>
      <c r="N66" s="372" t="s">
        <v>468</v>
      </c>
      <c r="AE66" s="243"/>
      <c r="BJ66" s="267"/>
    </row>
    <row r="67" spans="1:64" s="349" customFormat="1" ht="15.75" x14ac:dyDescent="0.25">
      <c r="A67" s="345"/>
      <c r="B67" s="351"/>
      <c r="C67" s="373" t="s">
        <v>469</v>
      </c>
      <c r="D67" s="366"/>
      <c r="E67" s="371" t="s">
        <v>470</v>
      </c>
      <c r="F67" s="374"/>
      <c r="G67" s="375"/>
      <c r="H67" s="375"/>
      <c r="I67" s="375"/>
      <c r="K67" s="267"/>
      <c r="L67" s="268"/>
      <c r="M67" s="241"/>
      <c r="N67" s="372" t="s">
        <v>471</v>
      </c>
      <c r="AE67" s="243"/>
      <c r="BJ67" s="267"/>
    </row>
    <row r="68" spans="1:64" s="349" customFormat="1" ht="15.75" x14ac:dyDescent="0.25">
      <c r="A68" s="345"/>
      <c r="B68" s="357" t="s">
        <v>472</v>
      </c>
      <c r="C68" s="376" t="s">
        <v>473</v>
      </c>
      <c r="D68" s="366"/>
      <c r="E68" s="371" t="s">
        <v>474</v>
      </c>
      <c r="F68" s="374"/>
      <c r="G68" s="375"/>
      <c r="H68" s="375"/>
      <c r="I68" s="375"/>
      <c r="K68" s="267"/>
      <c r="L68" s="268"/>
      <c r="M68" s="241"/>
      <c r="N68" s="349" t="s">
        <v>475</v>
      </c>
      <c r="AE68" s="243"/>
      <c r="BJ68" s="267"/>
    </row>
    <row r="69" spans="1:64" s="349" customFormat="1" ht="15.75" x14ac:dyDescent="0.25">
      <c r="A69" s="345"/>
      <c r="B69" s="351" t="s">
        <v>462</v>
      </c>
      <c r="C69" s="243"/>
      <c r="D69" s="366"/>
      <c r="E69" s="377"/>
      <c r="F69" s="374"/>
      <c r="G69" s="375"/>
      <c r="H69" s="375"/>
      <c r="I69" s="375"/>
      <c r="K69" s="267"/>
      <c r="L69" s="268"/>
      <c r="M69" s="241"/>
      <c r="N69" s="372" t="s">
        <v>476</v>
      </c>
      <c r="AE69" s="243"/>
      <c r="BJ69" s="267"/>
    </row>
    <row r="70" spans="1:64" s="349" customFormat="1" ht="15.75" x14ac:dyDescent="0.25">
      <c r="A70" s="345"/>
      <c r="B70" s="378" t="s">
        <v>477</v>
      </c>
      <c r="C70" s="243"/>
      <c r="D70" s="366"/>
      <c r="E70" s="377"/>
      <c r="F70" s="374"/>
      <c r="G70" s="375"/>
      <c r="H70" s="375"/>
      <c r="I70" s="375"/>
      <c r="K70" s="267"/>
      <c r="L70" s="268"/>
      <c r="M70" s="241"/>
      <c r="N70" s="349" t="s">
        <v>478</v>
      </c>
      <c r="AE70" s="243"/>
      <c r="BJ70" s="267"/>
    </row>
    <row r="71" spans="1:64" s="349" customFormat="1" ht="26.25" customHeight="1" x14ac:dyDescent="0.25">
      <c r="A71" s="345"/>
      <c r="B71" s="351"/>
      <c r="C71" s="243"/>
      <c r="D71" s="366"/>
      <c r="E71" s="377"/>
      <c r="F71" s="374"/>
      <c r="G71" s="375"/>
      <c r="H71" s="375"/>
      <c r="I71" s="375"/>
      <c r="K71" s="267"/>
      <c r="L71" s="268"/>
      <c r="M71" s="241"/>
      <c r="N71" s="349" t="s">
        <v>479</v>
      </c>
      <c r="AE71" s="243"/>
      <c r="BJ71" s="267"/>
    </row>
    <row r="72" spans="1:64" s="349" customFormat="1" ht="15" customHeight="1" x14ac:dyDescent="0.25">
      <c r="A72" s="345"/>
      <c r="B72" s="351" t="s">
        <v>480</v>
      </c>
      <c r="C72" s="379" t="s">
        <v>481</v>
      </c>
      <c r="D72" s="243"/>
      <c r="E72" s="380" t="s">
        <v>482</v>
      </c>
      <c r="F72" s="374"/>
      <c r="G72" s="375"/>
      <c r="H72" s="375"/>
      <c r="I72" s="375"/>
      <c r="K72" s="267"/>
      <c r="L72" s="268"/>
      <c r="M72" s="241"/>
      <c r="N72" s="349" t="s">
        <v>483</v>
      </c>
      <c r="AE72" s="243"/>
      <c r="BJ72" s="267"/>
    </row>
    <row r="73" spans="1:64" s="349" customFormat="1" ht="15.75" x14ac:dyDescent="0.25">
      <c r="A73" s="345"/>
      <c r="B73" s="378" t="s">
        <v>484</v>
      </c>
      <c r="C73" s="379" t="s">
        <v>485</v>
      </c>
      <c r="D73" s="243"/>
      <c r="E73" s="380" t="s">
        <v>486</v>
      </c>
      <c r="F73" s="374"/>
      <c r="G73" s="375"/>
      <c r="H73" s="375"/>
      <c r="I73" s="375"/>
      <c r="K73" s="267"/>
      <c r="L73" s="268"/>
      <c r="M73" s="241"/>
      <c r="N73" s="349" t="s">
        <v>487</v>
      </c>
      <c r="AE73" s="243"/>
      <c r="BJ73" s="267"/>
    </row>
    <row r="74" spans="1:64" s="349" customFormat="1" ht="15.75" x14ac:dyDescent="0.25">
      <c r="A74" s="345"/>
      <c r="B74" s="378" t="s">
        <v>488</v>
      </c>
      <c r="C74" s="381"/>
      <c r="D74" s="243"/>
      <c r="E74" s="380" t="s">
        <v>489</v>
      </c>
      <c r="F74" s="374"/>
      <c r="G74" s="375"/>
      <c r="H74" s="375"/>
      <c r="I74" s="375"/>
      <c r="K74" s="267"/>
      <c r="L74" s="268"/>
      <c r="M74" s="241"/>
      <c r="N74" s="372" t="s">
        <v>490</v>
      </c>
      <c r="AE74" s="243"/>
      <c r="BJ74" s="267"/>
    </row>
    <row r="75" spans="1:64" ht="15.75" x14ac:dyDescent="0.25">
      <c r="A75" s="382"/>
      <c r="B75" s="383"/>
      <c r="C75" s="384"/>
      <c r="D75" s="385"/>
      <c r="E75" s="386"/>
      <c r="BJ75" s="267"/>
      <c r="BK75" s="267"/>
      <c r="BL75" s="267"/>
    </row>
    <row r="76" spans="1:64" ht="18" customHeight="1" x14ac:dyDescent="0.25">
      <c r="A76" s="243"/>
      <c r="B76" s="387" t="str">
        <f>B1</f>
        <v>MAHARASHTRA STATE POWER GENERATION COMPANY LIMITED [CIN -U40100MH2005SGC153648]</v>
      </c>
      <c r="C76" s="388"/>
      <c r="D76" s="388"/>
      <c r="E76" s="389"/>
      <c r="F76" s="390"/>
      <c r="G76" s="391"/>
      <c r="H76" s="391"/>
      <c r="I76" s="391"/>
      <c r="J76" s="363"/>
      <c r="L76" s="392"/>
      <c r="M76" s="392"/>
      <c r="BJ76" s="267"/>
      <c r="BK76" s="267"/>
      <c r="BL76" s="267"/>
    </row>
    <row r="77" spans="1:64" ht="15.75" x14ac:dyDescent="0.25">
      <c r="A77" s="243"/>
      <c r="B77" s="393" t="s">
        <v>491</v>
      </c>
      <c r="C77" s="394" t="s">
        <v>492</v>
      </c>
      <c r="D77" s="395"/>
      <c r="E77" s="396" t="s">
        <v>493</v>
      </c>
      <c r="F77" s="390"/>
      <c r="G77" s="391"/>
      <c r="H77" s="391"/>
      <c r="I77" s="391"/>
      <c r="J77" s="363"/>
      <c r="K77" s="397"/>
      <c r="L77" s="392"/>
      <c r="M77" s="392"/>
      <c r="BJ77" s="267"/>
      <c r="BK77" s="267"/>
      <c r="BL77" s="267"/>
    </row>
    <row r="78" spans="1:64" ht="15.75" x14ac:dyDescent="0.25">
      <c r="A78" s="243"/>
      <c r="B78" s="398"/>
      <c r="C78" s="399" t="s">
        <v>388</v>
      </c>
      <c r="D78" s="400" t="s">
        <v>494</v>
      </c>
      <c r="E78" s="401" t="s">
        <v>495</v>
      </c>
      <c r="F78" s="390"/>
      <c r="G78" s="391"/>
      <c r="H78" s="391"/>
      <c r="I78" s="391"/>
      <c r="J78" s="363"/>
      <c r="K78" s="397"/>
      <c r="L78" s="392"/>
      <c r="M78" s="392"/>
      <c r="BJ78" s="267"/>
      <c r="BK78" s="267"/>
      <c r="BL78" s="267"/>
    </row>
    <row r="79" spans="1:64" ht="15.75" x14ac:dyDescent="0.25">
      <c r="A79" s="243"/>
      <c r="B79" s="402" t="s">
        <v>496</v>
      </c>
      <c r="C79" s="403"/>
      <c r="D79" s="404"/>
      <c r="E79" s="405"/>
      <c r="F79" s="390"/>
      <c r="G79" s="391"/>
      <c r="H79" s="391"/>
      <c r="I79" s="391"/>
      <c r="J79" s="363"/>
      <c r="K79" s="397"/>
      <c r="L79" s="392">
        <f>53991-50172</f>
        <v>3819</v>
      </c>
      <c r="M79" s="392"/>
      <c r="BJ79" s="267"/>
      <c r="BK79" s="267"/>
      <c r="BL79" s="267"/>
    </row>
    <row r="80" spans="1:64" ht="15.75" x14ac:dyDescent="0.25">
      <c r="A80" s="243"/>
      <c r="B80" s="406" t="s">
        <v>19</v>
      </c>
      <c r="C80" s="407"/>
      <c r="D80" s="408"/>
      <c r="E80" s="409"/>
      <c r="F80" s="390"/>
      <c r="G80" s="391"/>
      <c r="H80" s="391"/>
      <c r="I80" s="391"/>
      <c r="J80" s="363"/>
      <c r="K80" s="397"/>
      <c r="L80" s="392">
        <f>+E86*M80</f>
        <v>25606.550037398451</v>
      </c>
      <c r="M80" s="392">
        <f>50172/46455</f>
        <v>1.080012915724895</v>
      </c>
      <c r="BJ80" s="267"/>
      <c r="BK80" s="267"/>
      <c r="BL80" s="267"/>
    </row>
    <row r="81" spans="1:64" ht="15.75" x14ac:dyDescent="0.25">
      <c r="A81" s="243"/>
      <c r="B81" s="406" t="s">
        <v>497</v>
      </c>
      <c r="C81" s="410">
        <v>22</v>
      </c>
      <c r="D81" s="411">
        <f>D359</f>
        <v>29673.347245310008</v>
      </c>
      <c r="E81" s="412">
        <f>+E359</f>
        <v>28887.792758649004</v>
      </c>
      <c r="F81" s="390"/>
      <c r="G81" s="391"/>
      <c r="H81" s="391"/>
      <c r="I81" s="391"/>
      <c r="J81" s="413">
        <f t="shared" ref="J81:J83" si="18">+D81-E81</f>
        <v>785.55448666100347</v>
      </c>
      <c r="K81" t="s">
        <v>498</v>
      </c>
      <c r="M81" s="392"/>
      <c r="O81" s="414"/>
      <c r="BJ81" s="267"/>
      <c r="BK81" s="267"/>
      <c r="BL81" s="267"/>
    </row>
    <row r="82" spans="1:64" ht="15.75" x14ac:dyDescent="0.25">
      <c r="A82" s="243"/>
      <c r="B82" s="406" t="s">
        <v>499</v>
      </c>
      <c r="C82" s="410">
        <f>+A360</f>
        <v>23</v>
      </c>
      <c r="D82" s="411">
        <f>D366</f>
        <v>403.27283140099991</v>
      </c>
      <c r="E82" s="412">
        <f>+E366</f>
        <v>234.28060589299997</v>
      </c>
      <c r="F82" s="390"/>
      <c r="G82" s="391"/>
      <c r="H82" s="391"/>
      <c r="I82" s="391"/>
      <c r="J82" s="413">
        <f t="shared" si="18"/>
        <v>168.99222550799993</v>
      </c>
      <c r="K82" t="s">
        <v>500</v>
      </c>
      <c r="M82" s="392"/>
      <c r="O82" s="414"/>
      <c r="BJ82" s="267"/>
      <c r="BK82" s="267"/>
      <c r="BL82" s="267"/>
    </row>
    <row r="83" spans="1:64" ht="15.75" x14ac:dyDescent="0.25">
      <c r="A83" s="243"/>
      <c r="B83" s="406" t="s">
        <v>69</v>
      </c>
      <c r="C83" s="410">
        <f>+A367</f>
        <v>24</v>
      </c>
      <c r="D83" s="411">
        <f>D383</f>
        <v>3011.411122514608</v>
      </c>
      <c r="E83" s="412">
        <f>+E383</f>
        <v>4201.1486359450009</v>
      </c>
      <c r="F83" s="390"/>
      <c r="G83" s="391">
        <f>+E83-4199.45</f>
        <v>1.698635945001115</v>
      </c>
      <c r="H83" s="391">
        <v>664.79</v>
      </c>
      <c r="I83" s="391">
        <f>+G83-H83</f>
        <v>-663.09136405499885</v>
      </c>
      <c r="J83" s="413">
        <f t="shared" si="18"/>
        <v>-1189.7375134303929</v>
      </c>
      <c r="K83" t="s">
        <v>501</v>
      </c>
      <c r="M83" s="392"/>
      <c r="O83" s="414"/>
      <c r="R83" s="415"/>
      <c r="BJ83" s="267"/>
      <c r="BK83" s="267"/>
      <c r="BL83" s="267"/>
    </row>
    <row r="84" spans="1:64" ht="15.75" x14ac:dyDescent="0.25">
      <c r="A84" s="243"/>
      <c r="B84" s="416" t="s">
        <v>502</v>
      </c>
      <c r="C84" s="417"/>
      <c r="D84" s="418">
        <f>SUM(D81:D83)</f>
        <v>33088.031199225617</v>
      </c>
      <c r="E84" s="419">
        <f>SUM(E81:E83)</f>
        <v>33323.222000487003</v>
      </c>
      <c r="F84" s="390"/>
      <c r="G84" s="391"/>
      <c r="H84" s="391"/>
      <c r="I84" s="391"/>
      <c r="J84" s="420"/>
      <c r="K84" s="413"/>
      <c r="L84" s="421"/>
      <c r="M84" s="422"/>
      <c r="BJ84" s="267"/>
      <c r="BK84" s="267"/>
      <c r="BL84" s="267"/>
    </row>
    <row r="85" spans="1:64" ht="15.75" x14ac:dyDescent="0.25">
      <c r="A85" s="243"/>
      <c r="B85" s="423" t="s">
        <v>48</v>
      </c>
      <c r="C85" s="417"/>
      <c r="D85" s="411"/>
      <c r="E85" s="424"/>
      <c r="F85" s="390"/>
      <c r="G85" s="391"/>
      <c r="H85" s="391"/>
      <c r="I85" s="391"/>
      <c r="J85" s="425"/>
      <c r="K85" s="415"/>
      <c r="L85" s="421"/>
      <c r="M85" s="392"/>
      <c r="BJ85" s="267"/>
      <c r="BK85" s="267"/>
      <c r="BL85" s="267"/>
    </row>
    <row r="86" spans="1:64" ht="15.75" x14ac:dyDescent="0.25">
      <c r="A86" s="243"/>
      <c r="B86" s="406" t="s">
        <v>503</v>
      </c>
      <c r="C86" s="410">
        <f>+A387</f>
        <v>25</v>
      </c>
      <c r="D86" s="411">
        <f>D394</f>
        <v>22119.298383977002</v>
      </c>
      <c r="E86" s="412">
        <f>+E394</f>
        <v>23709.485011308003</v>
      </c>
      <c r="F86" s="390"/>
      <c r="G86" s="391">
        <f>+E86-23982.99</f>
        <v>-273.50498869199873</v>
      </c>
      <c r="H86" s="391">
        <v>4.7699999999999996</v>
      </c>
      <c r="I86" s="391">
        <f t="shared" ref="I86:I92" si="19">+G86-H86</f>
        <v>-278.27498869199871</v>
      </c>
      <c r="J86" s="413">
        <f>+D86-E86</f>
        <v>-1590.1866273310006</v>
      </c>
      <c r="K86" t="s">
        <v>504</v>
      </c>
      <c r="M86" s="392"/>
      <c r="O86" s="414"/>
      <c r="BJ86" s="267"/>
      <c r="BK86" s="267"/>
      <c r="BL86" s="267"/>
    </row>
    <row r="87" spans="1:64" ht="15.75" x14ac:dyDescent="0.25">
      <c r="A87" s="243"/>
      <c r="B87" s="406" t="s">
        <v>505</v>
      </c>
      <c r="C87" s="410" t="s">
        <v>506</v>
      </c>
      <c r="D87" s="411">
        <f>D397</f>
        <v>555.71690159700006</v>
      </c>
      <c r="E87" s="412">
        <f>E397</f>
        <v>278.2720339</v>
      </c>
      <c r="F87" s="390"/>
      <c r="G87" s="391"/>
      <c r="H87" s="391"/>
      <c r="I87" s="391"/>
      <c r="J87" s="413"/>
      <c r="K87"/>
      <c r="M87" s="392"/>
      <c r="O87" s="414"/>
      <c r="BJ87" s="267"/>
      <c r="BK87" s="267"/>
      <c r="BL87" s="267"/>
    </row>
    <row r="88" spans="1:64" ht="15.75" x14ac:dyDescent="0.25">
      <c r="A88" s="243"/>
      <c r="B88" s="406" t="s">
        <v>507</v>
      </c>
      <c r="C88" s="410">
        <f>+A400</f>
        <v>26</v>
      </c>
      <c r="D88" s="411">
        <f>D406</f>
        <v>2257.0609208709998</v>
      </c>
      <c r="E88" s="412">
        <f>+E406</f>
        <v>1706.9575242869998</v>
      </c>
      <c r="F88" s="390"/>
      <c r="G88" s="391">
        <f>+E88-1706.08</f>
        <v>0.87752428699991469</v>
      </c>
      <c r="H88" s="391">
        <v>0.9</v>
      </c>
      <c r="I88" s="391">
        <f t="shared" si="19"/>
        <v>-2.2475713000085329E-2</v>
      </c>
      <c r="J88" s="413">
        <f>+D88-E88</f>
        <v>550.10339658399994</v>
      </c>
      <c r="K88" t="s">
        <v>508</v>
      </c>
      <c r="M88" s="392"/>
      <c r="O88" s="414"/>
      <c r="BJ88" s="267"/>
      <c r="BK88" s="267"/>
      <c r="BL88" s="267"/>
    </row>
    <row r="89" spans="1:64" ht="15.75" x14ac:dyDescent="0.25">
      <c r="A89" s="243"/>
      <c r="B89" s="406" t="s">
        <v>104</v>
      </c>
      <c r="C89" s="410">
        <f>+A410</f>
        <v>27</v>
      </c>
      <c r="D89" s="411">
        <f>D417</f>
        <v>3610.9410095520002</v>
      </c>
      <c r="E89" s="412">
        <f>+E417</f>
        <v>3470.1097996790008</v>
      </c>
      <c r="F89" s="390"/>
      <c r="G89" s="391">
        <f>+E89-3493.15</f>
        <v>-23.040200320999247</v>
      </c>
      <c r="H89" s="391"/>
      <c r="I89" s="391">
        <f t="shared" si="19"/>
        <v>-23.040200320999247</v>
      </c>
      <c r="J89" s="413">
        <f>+D89-E89</f>
        <v>140.83120987299935</v>
      </c>
      <c r="K89" t="s">
        <v>509</v>
      </c>
      <c r="M89" s="392"/>
      <c r="O89" s="414"/>
      <c r="BJ89" s="267"/>
      <c r="BK89" s="267"/>
      <c r="BL89" s="267"/>
    </row>
    <row r="90" spans="1:64" ht="16.5" customHeight="1" x14ac:dyDescent="0.25">
      <c r="A90" s="243"/>
      <c r="B90" s="406" t="s">
        <v>510</v>
      </c>
      <c r="C90" s="426" t="s">
        <v>511</v>
      </c>
      <c r="D90" s="411">
        <f>'[15]Profit &amp; Loss Grouping'!E328</f>
        <v>2687.7448922469998</v>
      </c>
      <c r="E90" s="412">
        <f>'[15]Profit &amp; Loss Grouping'!G328</f>
        <v>2847.2569642380004</v>
      </c>
      <c r="F90" s="390"/>
      <c r="G90" s="391">
        <f>+E90-2842.84</f>
        <v>4.4169642380002188</v>
      </c>
      <c r="H90" s="391">
        <v>4.42</v>
      </c>
      <c r="I90" s="391">
        <f t="shared" si="19"/>
        <v>-3.0357619997811724E-3</v>
      </c>
      <c r="J90" s="413">
        <f>+D90-E90</f>
        <v>-159.51207199100054</v>
      </c>
      <c r="K90" t="s">
        <v>512</v>
      </c>
      <c r="M90" s="392"/>
      <c r="O90" s="414"/>
      <c r="BJ90" s="267"/>
      <c r="BK90" s="267"/>
      <c r="BL90" s="267"/>
    </row>
    <row r="91" spans="1:64" ht="15.75" x14ac:dyDescent="0.25">
      <c r="A91" s="243"/>
      <c r="B91" s="406" t="s">
        <v>106</v>
      </c>
      <c r="C91" s="410">
        <f>+A419</f>
        <v>28</v>
      </c>
      <c r="D91" s="427">
        <f>D449</f>
        <v>2297.6785224840005</v>
      </c>
      <c r="E91" s="428">
        <f>+E449</f>
        <v>2304.7145891249997</v>
      </c>
      <c r="F91" s="390"/>
      <c r="G91" s="391">
        <f>+E91-2311.44</f>
        <v>-6.725410875000307</v>
      </c>
      <c r="H91" s="391">
        <v>2225.5500000000002</v>
      </c>
      <c r="I91" s="391">
        <f t="shared" si="19"/>
        <v>-2232.2754108750005</v>
      </c>
      <c r="J91" s="413">
        <f>+D91-E91</f>
        <v>-7.0360666409992518</v>
      </c>
      <c r="K91" t="s">
        <v>513</v>
      </c>
      <c r="M91" s="392"/>
      <c r="O91" s="414"/>
      <c r="BJ91" s="267"/>
      <c r="BK91" s="267"/>
      <c r="BL91" s="267"/>
    </row>
    <row r="92" spans="1:64" ht="19.5" customHeight="1" x14ac:dyDescent="0.25">
      <c r="A92" s="243"/>
      <c r="B92" s="416" t="s">
        <v>514</v>
      </c>
      <c r="C92" s="417"/>
      <c r="D92" s="429">
        <f>SUM(D86:D91)</f>
        <v>33528.440630728001</v>
      </c>
      <c r="E92" s="430">
        <f>SUM(E86:E91)</f>
        <v>34316.795922537007</v>
      </c>
      <c r="F92" s="390"/>
      <c r="G92" s="391">
        <f>SUM(G86:G91)</f>
        <v>-297.97611136299815</v>
      </c>
      <c r="H92" s="391">
        <f>SUM(H86:H91)</f>
        <v>2235.6400000000003</v>
      </c>
      <c r="I92" s="391">
        <f t="shared" si="19"/>
        <v>-2533.6161113629987</v>
      </c>
      <c r="J92" s="420"/>
      <c r="K92" s="415"/>
      <c r="L92" s="392"/>
      <c r="M92" s="392"/>
      <c r="BJ92" s="267"/>
      <c r="BK92" s="267"/>
      <c r="BL92" s="267"/>
    </row>
    <row r="93" spans="1:64" ht="27.75" hidden="1" customHeight="1" x14ac:dyDescent="0.25">
      <c r="A93" s="243"/>
      <c r="B93" s="431" t="s">
        <v>515</v>
      </c>
      <c r="C93" s="432"/>
      <c r="D93" s="433">
        <f>+D84-D92</f>
        <v>-440.40943150238309</v>
      </c>
      <c r="E93" s="434">
        <f>+E84-E92</f>
        <v>-993.5739220500036</v>
      </c>
      <c r="F93" s="390"/>
      <c r="G93" s="391"/>
      <c r="H93" s="391"/>
      <c r="I93" s="391"/>
      <c r="J93" s="420"/>
      <c r="L93" s="435"/>
      <c r="M93" s="436">
        <v>343.1479195299944</v>
      </c>
      <c r="BJ93" s="267"/>
      <c r="BK93" s="267"/>
      <c r="BL93" s="267"/>
    </row>
    <row r="94" spans="1:64" ht="15.75" hidden="1" customHeight="1" x14ac:dyDescent="0.25">
      <c r="A94" s="243"/>
      <c r="B94" s="437" t="s">
        <v>516</v>
      </c>
      <c r="C94" s="432"/>
      <c r="D94" s="411"/>
      <c r="E94" s="438"/>
      <c r="F94" s="390"/>
      <c r="G94" s="391"/>
      <c r="H94" s="391"/>
      <c r="I94" s="391"/>
      <c r="J94" s="420"/>
      <c r="K94" s="439"/>
      <c r="L94" s="392"/>
      <c r="M94" s="436"/>
      <c r="BJ94" s="267"/>
      <c r="BK94" s="267"/>
      <c r="BL94" s="267"/>
    </row>
    <row r="95" spans="1:64" ht="15.75" customHeight="1" x14ac:dyDescent="0.25">
      <c r="A95" s="243"/>
      <c r="B95" s="437" t="s">
        <v>517</v>
      </c>
      <c r="C95" s="432"/>
      <c r="D95" s="411">
        <f>D93-D94</f>
        <v>-440.40943150238309</v>
      </c>
      <c r="E95" s="412">
        <f>E93-E94</f>
        <v>-993.5739220500036</v>
      </c>
      <c r="F95" s="390"/>
      <c r="G95" s="391"/>
      <c r="H95" s="391"/>
      <c r="I95" s="391"/>
      <c r="J95" s="420"/>
      <c r="K95" s="439"/>
      <c r="L95" s="392"/>
      <c r="M95" s="436"/>
      <c r="BJ95" s="267"/>
      <c r="BK95" s="267"/>
      <c r="BL95" s="267"/>
    </row>
    <row r="96" spans="1:64" ht="15.75" customHeight="1" x14ac:dyDescent="0.25">
      <c r="A96" s="243"/>
      <c r="B96" s="437" t="s">
        <v>518</v>
      </c>
      <c r="C96" s="417" t="str">
        <f>+A457</f>
        <v>28B</v>
      </c>
      <c r="D96" s="427">
        <f>D460</f>
        <v>-796.33742220639203</v>
      </c>
      <c r="E96" s="428">
        <f>E460</f>
        <v>1590.7269368000002</v>
      </c>
      <c r="F96" s="390"/>
      <c r="G96" s="391"/>
      <c r="H96" s="391"/>
      <c r="I96" s="391"/>
      <c r="J96" s="420"/>
      <c r="K96" s="439"/>
      <c r="L96" s="392"/>
      <c r="M96" s="436"/>
      <c r="BJ96" s="267"/>
      <c r="BK96" s="267"/>
      <c r="BL96" s="267"/>
    </row>
    <row r="97" spans="1:64" ht="16.5" thickBot="1" x14ac:dyDescent="0.3">
      <c r="A97" s="243"/>
      <c r="B97" s="416" t="s">
        <v>519</v>
      </c>
      <c r="C97" s="417"/>
      <c r="D97" s="440">
        <f>+D93-D96</f>
        <v>355.92799070400895</v>
      </c>
      <c r="E97" s="441">
        <f>+E93-E96</f>
        <v>-2584.3008588500038</v>
      </c>
      <c r="F97" s="390">
        <v>1013.45</v>
      </c>
      <c r="G97" s="391">
        <f>+G83-G92</f>
        <v>299.67474730799927</v>
      </c>
      <c r="H97" s="391">
        <f>+H83-H92</f>
        <v>-1570.8500000000004</v>
      </c>
      <c r="I97" s="391">
        <f>+G97-H97</f>
        <v>1870.5247473079996</v>
      </c>
      <c r="J97" s="420">
        <f>+E97+F97</f>
        <v>-1570.8508588500038</v>
      </c>
      <c r="K97" s="442"/>
      <c r="L97" s="397"/>
      <c r="M97" s="443"/>
      <c r="N97" s="242">
        <f>+E97+L109+E106</f>
        <v>-2604.0539222500038</v>
      </c>
      <c r="O97" s="269">
        <f>+E97</f>
        <v>-2584.3008588500038</v>
      </c>
      <c r="BJ97" s="267"/>
      <c r="BK97" s="267"/>
      <c r="BL97" s="267"/>
    </row>
    <row r="98" spans="1:64" ht="16.5" thickTop="1" x14ac:dyDescent="0.25">
      <c r="A98" s="243"/>
      <c r="B98" s="423" t="s">
        <v>520</v>
      </c>
      <c r="C98" s="417"/>
      <c r="D98" s="411"/>
      <c r="E98" s="424"/>
      <c r="F98" s="390"/>
      <c r="G98" s="391"/>
      <c r="H98" s="391"/>
      <c r="I98" s="391"/>
      <c r="J98" s="420"/>
      <c r="K98" s="397"/>
      <c r="L98" s="392"/>
      <c r="M98" s="436"/>
      <c r="O98" s="269">
        <f>+'[15]Tax Reco Note 15'!C77+'[15]Tax Reco Note 15'!D77</f>
        <v>626.28210913308578</v>
      </c>
      <c r="BJ98" s="267"/>
      <c r="BK98" s="267"/>
      <c r="BL98" s="267"/>
    </row>
    <row r="99" spans="1:64" ht="15.75" x14ac:dyDescent="0.25">
      <c r="A99" s="243"/>
      <c r="B99" s="444" t="s">
        <v>521</v>
      </c>
      <c r="C99" s="417"/>
      <c r="D99" s="411">
        <f>+'[15]Input Sheet'!G1308</f>
        <v>0</v>
      </c>
      <c r="E99" s="412">
        <v>0</v>
      </c>
      <c r="F99" s="390"/>
      <c r="G99" s="391"/>
      <c r="H99" s="391"/>
      <c r="I99" s="391"/>
      <c r="J99" s="420"/>
      <c r="K99" s="397"/>
      <c r="L99" s="392"/>
      <c r="M99" s="436"/>
      <c r="BJ99" s="267"/>
      <c r="BK99" s="267"/>
      <c r="BL99" s="267"/>
    </row>
    <row r="100" spans="1:64" ht="15.75" hidden="1" x14ac:dyDescent="0.25">
      <c r="A100" s="243"/>
      <c r="B100" s="444" t="s">
        <v>522</v>
      </c>
      <c r="C100" s="417"/>
      <c r="D100" s="411">
        <f>-D453*0</f>
        <v>0</v>
      </c>
      <c r="E100" s="412">
        <v>0</v>
      </c>
      <c r="F100" s="390"/>
      <c r="G100" s="391"/>
      <c r="H100" s="391"/>
      <c r="I100" s="391"/>
      <c r="J100" s="420"/>
      <c r="K100" s="397"/>
      <c r="L100" s="422"/>
      <c r="M100" s="436"/>
      <c r="O100" s="269">
        <f>+E106</f>
        <v>-19.753063399999998</v>
      </c>
      <c r="BI100" s="445"/>
      <c r="BJ100" s="267"/>
      <c r="BK100" s="267"/>
      <c r="BL100" s="267"/>
    </row>
    <row r="101" spans="1:64" ht="15.75" x14ac:dyDescent="0.25">
      <c r="A101" s="243"/>
      <c r="B101" s="444" t="s">
        <v>523</v>
      </c>
      <c r="C101" s="446">
        <f>+C45</f>
        <v>15</v>
      </c>
      <c r="D101" s="447">
        <f>+D452</f>
        <v>182.48552272399999</v>
      </c>
      <c r="E101" s="412">
        <f>+E452</f>
        <v>-621.31065813657324</v>
      </c>
      <c r="F101" s="390">
        <f>D101-D107</f>
        <v>225.67835354799999</v>
      </c>
      <c r="G101" s="391"/>
      <c r="H101" s="391"/>
      <c r="I101" s="391"/>
      <c r="J101" s="397">
        <f>+D101-D107</f>
        <v>225.67835354799999</v>
      </c>
      <c r="K101" s="397">
        <f>+E101-E107</f>
        <v>-616.33920714006126</v>
      </c>
      <c r="L101" s="392"/>
      <c r="M101" s="436"/>
      <c r="N101" s="392">
        <f>SUM(N97:N100)</f>
        <v>-2604.0539222500038</v>
      </c>
      <c r="O101" s="392">
        <f>SUM(O97:O100)</f>
        <v>-1977.7718131169181</v>
      </c>
      <c r="BI101" s="445"/>
      <c r="BJ101" s="267"/>
      <c r="BK101" s="267"/>
      <c r="BL101" s="267"/>
    </row>
    <row r="102" spans="1:64" ht="15.75" x14ac:dyDescent="0.25">
      <c r="A102" s="243"/>
      <c r="B102" s="444" t="s">
        <v>524</v>
      </c>
      <c r="C102" s="417"/>
      <c r="D102" s="448">
        <f>SUM(D99:D101)</f>
        <v>182.48552272399999</v>
      </c>
      <c r="E102" s="449">
        <f>SUM(E99:E101)</f>
        <v>-621.31065813657324</v>
      </c>
      <c r="F102" s="390"/>
      <c r="G102" s="391"/>
      <c r="H102" s="391"/>
      <c r="I102" s="391"/>
      <c r="J102" s="420"/>
      <c r="K102" s="397"/>
      <c r="L102" s="422"/>
      <c r="M102" s="436"/>
      <c r="BI102" s="445"/>
      <c r="BJ102" s="267"/>
      <c r="BK102" s="267"/>
      <c r="BL102" s="267"/>
    </row>
    <row r="103" spans="1:64" ht="16.5" thickBot="1" x14ac:dyDescent="0.3">
      <c r="A103" s="243"/>
      <c r="B103" s="450" t="s">
        <v>525</v>
      </c>
      <c r="C103" s="417"/>
      <c r="D103" s="451">
        <f>+D97-D102</f>
        <v>173.44246798000896</v>
      </c>
      <c r="E103" s="452">
        <f>+E97-E102</f>
        <v>-1962.9902007134306</v>
      </c>
      <c r="F103" s="390"/>
      <c r="G103" s="391"/>
      <c r="H103" s="391"/>
      <c r="I103" s="391"/>
      <c r="J103" s="420"/>
      <c r="K103" s="397"/>
      <c r="L103" s="453"/>
      <c r="M103" s="436"/>
      <c r="BI103" s="445"/>
      <c r="BJ103" s="267"/>
      <c r="BK103" s="267"/>
      <c r="BL103" s="267"/>
    </row>
    <row r="104" spans="1:64" ht="16.5" thickTop="1" x14ac:dyDescent="0.25">
      <c r="A104" s="243"/>
      <c r="B104" s="450" t="s">
        <v>526</v>
      </c>
      <c r="C104" s="417"/>
      <c r="D104" s="411"/>
      <c r="E104" s="424"/>
      <c r="F104" s="454">
        <f>+D97+D106</f>
        <v>184.30994070400894</v>
      </c>
      <c r="G104" s="391"/>
      <c r="H104" s="391"/>
      <c r="I104" s="391"/>
      <c r="J104" s="420"/>
      <c r="K104" s="397"/>
      <c r="L104" s="392"/>
      <c r="M104" s="436"/>
      <c r="BI104" s="445"/>
      <c r="BJ104" s="267"/>
      <c r="BK104" s="267"/>
      <c r="BL104" s="267"/>
    </row>
    <row r="105" spans="1:64" ht="15.75" x14ac:dyDescent="0.25">
      <c r="A105" s="243"/>
      <c r="B105" s="406" t="s">
        <v>527</v>
      </c>
      <c r="C105" s="417"/>
      <c r="D105" s="411"/>
      <c r="E105" s="424"/>
      <c r="F105" s="390"/>
      <c r="G105" s="391"/>
      <c r="H105" s="391"/>
      <c r="I105" s="391"/>
      <c r="J105" s="420"/>
      <c r="K105" s="397"/>
      <c r="L105" s="392"/>
      <c r="M105" s="436"/>
      <c r="BI105" s="445"/>
      <c r="BJ105" s="267"/>
      <c r="BK105" s="267"/>
      <c r="BL105" s="267"/>
    </row>
    <row r="106" spans="1:64" ht="15.75" x14ac:dyDescent="0.25">
      <c r="A106" s="243"/>
      <c r="B106" s="406" t="s">
        <v>528</v>
      </c>
      <c r="C106" s="417" t="str">
        <f>+A407</f>
        <v>26A</v>
      </c>
      <c r="D106" s="455">
        <f>-D408</f>
        <v>-171.61805000000001</v>
      </c>
      <c r="E106" s="412">
        <f>-E408</f>
        <v>-19.753063399999998</v>
      </c>
      <c r="F106" s="390">
        <f>-D106</f>
        <v>171.61805000000001</v>
      </c>
      <c r="G106" s="391"/>
      <c r="H106" s="391"/>
      <c r="I106" s="391"/>
      <c r="J106" s="420"/>
      <c r="K106" s="456"/>
      <c r="L106" s="422"/>
      <c r="M106" s="457"/>
      <c r="BI106" s="445"/>
      <c r="BJ106" s="267"/>
      <c r="BK106" s="267"/>
      <c r="BL106" s="267"/>
    </row>
    <row r="107" spans="1:64" ht="16.5" customHeight="1" x14ac:dyDescent="0.25">
      <c r="A107" s="243"/>
      <c r="B107" s="406" t="s">
        <v>529</v>
      </c>
      <c r="C107" s="417" t="str">
        <f>+A451</f>
        <v>28A</v>
      </c>
      <c r="D107" s="411">
        <f>-D453*0+D106*'[15]Computation (2)'!$F$4</f>
        <v>-43.192830824000005</v>
      </c>
      <c r="E107" s="412">
        <f>-E453*0+E106*'[15]Computation (2)'!$F$4</f>
        <v>-4.971450996512</v>
      </c>
      <c r="F107" s="390"/>
      <c r="G107" s="391"/>
      <c r="H107" s="391"/>
      <c r="I107" s="391"/>
      <c r="J107" s="420"/>
      <c r="K107" s="397"/>
      <c r="L107" s="392"/>
      <c r="M107" s="436"/>
      <c r="BI107" s="445"/>
      <c r="BJ107" s="267"/>
      <c r="BK107" s="267"/>
      <c r="BL107" s="267"/>
    </row>
    <row r="108" spans="1:64" ht="22.5" customHeight="1" x14ac:dyDescent="0.25">
      <c r="A108" s="243"/>
      <c r="B108" s="458" t="s">
        <v>530</v>
      </c>
      <c r="C108" s="417"/>
      <c r="D108" s="459">
        <f>+D106-D107</f>
        <v>-128.42521917600001</v>
      </c>
      <c r="E108" s="460">
        <f>+E106-E107</f>
        <v>-14.781612403487998</v>
      </c>
      <c r="F108" s="390"/>
      <c r="G108" s="391"/>
      <c r="H108" s="391"/>
      <c r="I108" s="391"/>
      <c r="J108" s="420"/>
      <c r="K108" s="397"/>
      <c r="L108" s="392"/>
      <c r="M108" s="436"/>
      <c r="BI108" s="445"/>
      <c r="BJ108" s="267"/>
      <c r="BK108" s="267"/>
      <c r="BL108" s="267"/>
    </row>
    <row r="109" spans="1:64" ht="32.25" customHeight="1" x14ac:dyDescent="0.25">
      <c r="A109" s="243"/>
      <c r="B109" s="461" t="s">
        <v>531</v>
      </c>
      <c r="C109" s="462"/>
      <c r="D109" s="459">
        <f>+D103+D108</f>
        <v>45.017248804008943</v>
      </c>
      <c r="E109" s="460">
        <f>+E103+E108</f>
        <v>-1977.7718131169186</v>
      </c>
      <c r="F109" s="390">
        <f>+[15]Vlookup!C1030/10^7</f>
        <v>45.017248804000005</v>
      </c>
      <c r="G109" s="391"/>
      <c r="H109" s="391"/>
      <c r="I109" s="391"/>
      <c r="J109" s="463">
        <f>D109-F109</f>
        <v>8.9386276158620603E-12</v>
      </c>
      <c r="K109" s="464"/>
      <c r="L109" s="465"/>
      <c r="M109" s="457"/>
      <c r="AD109" s="445"/>
      <c r="BI109" s="445"/>
      <c r="BJ109" s="267"/>
      <c r="BK109" s="267"/>
      <c r="BL109" s="267"/>
    </row>
    <row r="110" spans="1:64" ht="16.5" hidden="1" customHeight="1" x14ac:dyDescent="0.25">
      <c r="A110" s="243"/>
      <c r="B110" s="466" t="s">
        <v>532</v>
      </c>
      <c r="C110" s="467" t="s">
        <v>533</v>
      </c>
      <c r="D110" s="468"/>
      <c r="E110" s="469"/>
      <c r="F110" s="390"/>
      <c r="G110" s="391"/>
      <c r="H110" s="391"/>
      <c r="I110" s="391"/>
      <c r="J110" s="363"/>
      <c r="K110" s="439"/>
      <c r="L110" s="392"/>
      <c r="M110" s="422"/>
      <c r="AD110" s="445"/>
      <c r="BI110" s="445"/>
      <c r="BJ110" s="267"/>
      <c r="BK110" s="267"/>
      <c r="BL110" s="267"/>
    </row>
    <row r="111" spans="1:64" ht="15.75" hidden="1" customHeight="1" x14ac:dyDescent="0.25">
      <c r="A111" s="243"/>
      <c r="B111" s="378" t="s">
        <v>534</v>
      </c>
      <c r="C111" s="467"/>
      <c r="D111" s="468">
        <f>+D103</f>
        <v>173.44246798000896</v>
      </c>
      <c r="E111" s="469">
        <f>+E103</f>
        <v>-1962.9902007134306</v>
      </c>
      <c r="F111" s="390"/>
      <c r="G111" s="391"/>
      <c r="H111" s="391"/>
      <c r="I111" s="391"/>
      <c r="J111" s="363"/>
      <c r="K111" s="439"/>
      <c r="L111" s="392"/>
      <c r="M111" s="422"/>
      <c r="AD111" s="445"/>
      <c r="BI111" s="445"/>
      <c r="BJ111" s="267"/>
      <c r="BK111" s="267"/>
      <c r="BL111" s="267"/>
    </row>
    <row r="112" spans="1:64" ht="15.75" hidden="1" customHeight="1" x14ac:dyDescent="0.25">
      <c r="A112" s="243"/>
      <c r="B112" s="378" t="s">
        <v>535</v>
      </c>
      <c r="C112" s="467"/>
      <c r="D112" s="468">
        <v>0</v>
      </c>
      <c r="E112" s="469">
        <v>0</v>
      </c>
      <c r="F112" s="390"/>
      <c r="G112" s="391"/>
      <c r="H112" s="391"/>
      <c r="I112" s="391"/>
      <c r="J112" s="363"/>
      <c r="K112" s="439"/>
      <c r="L112" s="392"/>
      <c r="M112" s="422"/>
      <c r="AD112" s="445"/>
      <c r="BI112" s="445"/>
      <c r="BJ112" s="267"/>
      <c r="BK112" s="267"/>
      <c r="BL112" s="267"/>
    </row>
    <row r="113" spans="1:64" ht="15.75" hidden="1" customHeight="1" x14ac:dyDescent="0.25">
      <c r="A113" s="243"/>
      <c r="B113" s="466" t="s">
        <v>536</v>
      </c>
      <c r="C113" s="467"/>
      <c r="D113" s="459">
        <f>+D111+D112</f>
        <v>173.44246798000896</v>
      </c>
      <c r="E113" s="470">
        <f>+E111+E112</f>
        <v>-1962.9902007134306</v>
      </c>
      <c r="F113" s="390"/>
      <c r="G113" s="391"/>
      <c r="H113" s="391"/>
      <c r="I113" s="391"/>
      <c r="J113" s="363"/>
      <c r="K113" s="439"/>
      <c r="L113" s="392"/>
      <c r="M113" s="422"/>
      <c r="AD113" s="445"/>
      <c r="BI113" s="445"/>
      <c r="BJ113" s="267"/>
      <c r="BK113" s="267"/>
      <c r="BL113" s="267"/>
    </row>
    <row r="114" spans="1:64" ht="15.75" hidden="1" customHeight="1" x14ac:dyDescent="0.25">
      <c r="A114" s="243"/>
      <c r="B114" s="466" t="s">
        <v>537</v>
      </c>
      <c r="C114" s="467"/>
      <c r="D114" s="468"/>
      <c r="E114" s="469"/>
      <c r="F114" s="390"/>
      <c r="G114" s="391"/>
      <c r="H114" s="391"/>
      <c r="I114" s="391"/>
      <c r="J114" s="363"/>
      <c r="K114" s="439"/>
      <c r="L114" s="392"/>
      <c r="M114" s="422"/>
      <c r="AD114" s="445"/>
      <c r="BI114" s="445"/>
      <c r="BJ114" s="267"/>
      <c r="BK114" s="267"/>
      <c r="BL114" s="267"/>
    </row>
    <row r="115" spans="1:64" ht="15.75" hidden="1" customHeight="1" x14ac:dyDescent="0.25">
      <c r="A115" s="243"/>
      <c r="B115" s="378" t="s">
        <v>534</v>
      </c>
      <c r="C115" s="467"/>
      <c r="D115" s="468">
        <f>+D108</f>
        <v>-128.42521917600001</v>
      </c>
      <c r="E115" s="469">
        <f>+E108</f>
        <v>-14.781612403487998</v>
      </c>
      <c r="F115" s="390"/>
      <c r="G115" s="391"/>
      <c r="H115" s="391"/>
      <c r="I115" s="391"/>
      <c r="J115" s="363"/>
      <c r="K115" s="439"/>
      <c r="L115" s="392"/>
      <c r="M115" s="422"/>
      <c r="AD115" s="445"/>
      <c r="BI115" s="445"/>
      <c r="BJ115" s="267"/>
      <c r="BK115" s="267"/>
      <c r="BL115" s="267"/>
    </row>
    <row r="116" spans="1:64" ht="15.75" hidden="1" customHeight="1" x14ac:dyDescent="0.25">
      <c r="A116" s="243"/>
      <c r="B116" s="378" t="s">
        <v>535</v>
      </c>
      <c r="C116" s="467"/>
      <c r="D116" s="468">
        <v>0</v>
      </c>
      <c r="E116" s="469">
        <v>0</v>
      </c>
      <c r="F116" s="390"/>
      <c r="G116" s="391"/>
      <c r="H116" s="391"/>
      <c r="I116" s="391"/>
      <c r="J116" s="363"/>
      <c r="K116" s="439"/>
      <c r="L116" s="392"/>
      <c r="M116" s="422"/>
      <c r="AD116" s="445"/>
      <c r="BI116" s="445"/>
      <c r="BJ116" s="267"/>
      <c r="BK116" s="267"/>
      <c r="BL116" s="267"/>
    </row>
    <row r="117" spans="1:64" ht="15.75" hidden="1" customHeight="1" x14ac:dyDescent="0.25">
      <c r="A117" s="243"/>
      <c r="B117" s="466" t="s">
        <v>538</v>
      </c>
      <c r="C117" s="467"/>
      <c r="D117" s="459">
        <f>+D115+D116</f>
        <v>-128.42521917600001</v>
      </c>
      <c r="E117" s="470">
        <f>+E115+E116</f>
        <v>-14.781612403487998</v>
      </c>
      <c r="F117" s="390"/>
      <c r="G117" s="391"/>
      <c r="H117" s="391"/>
      <c r="I117" s="391"/>
      <c r="J117" s="363"/>
      <c r="K117" s="439"/>
      <c r="L117" s="392"/>
      <c r="M117" s="422"/>
      <c r="AD117" s="445"/>
      <c r="BI117" s="445"/>
      <c r="BJ117" s="267"/>
      <c r="BK117" s="267"/>
      <c r="BL117" s="267"/>
    </row>
    <row r="118" spans="1:64" ht="15.75" hidden="1" customHeight="1" x14ac:dyDescent="0.25">
      <c r="A118" s="243"/>
      <c r="B118" s="466" t="s">
        <v>539</v>
      </c>
      <c r="C118" s="467"/>
      <c r="D118" s="468"/>
      <c r="E118" s="469"/>
      <c r="F118" s="390"/>
      <c r="G118" s="391"/>
      <c r="H118" s="391"/>
      <c r="I118" s="391"/>
      <c r="J118" s="363"/>
      <c r="K118" s="439"/>
      <c r="L118" s="392"/>
      <c r="M118" s="422"/>
      <c r="AD118" s="445"/>
      <c r="BI118" s="445"/>
      <c r="BJ118" s="267"/>
      <c r="BK118" s="267"/>
      <c r="BL118" s="267"/>
    </row>
    <row r="119" spans="1:64" ht="15.75" hidden="1" customHeight="1" x14ac:dyDescent="0.25">
      <c r="A119" s="243"/>
      <c r="B119" s="378" t="s">
        <v>534</v>
      </c>
      <c r="C119" s="467"/>
      <c r="D119" s="468">
        <f>+D111+D115</f>
        <v>45.017248804008943</v>
      </c>
      <c r="E119" s="469">
        <f>+E111+E115</f>
        <v>-1977.7718131169186</v>
      </c>
      <c r="F119" s="390"/>
      <c r="G119" s="391"/>
      <c r="H119" s="391"/>
      <c r="I119" s="391"/>
      <c r="J119" s="363"/>
      <c r="K119" s="439"/>
      <c r="L119" s="392"/>
      <c r="M119" s="422"/>
      <c r="AD119" s="445"/>
      <c r="BI119" s="445"/>
      <c r="BJ119" s="267"/>
      <c r="BK119" s="267"/>
      <c r="BL119" s="267"/>
    </row>
    <row r="120" spans="1:64" ht="15.75" hidden="1" customHeight="1" x14ac:dyDescent="0.25">
      <c r="A120" s="243"/>
      <c r="B120" s="378" t="s">
        <v>535</v>
      </c>
      <c r="C120" s="467"/>
      <c r="D120" s="468">
        <f>+D112+D116</f>
        <v>0</v>
      </c>
      <c r="E120" s="469">
        <f>+E112+E116</f>
        <v>0</v>
      </c>
      <c r="F120" s="390"/>
      <c r="G120" s="391"/>
      <c r="H120" s="391"/>
      <c r="I120" s="391"/>
      <c r="J120" s="363"/>
      <c r="K120" s="439"/>
      <c r="L120" s="392"/>
      <c r="M120" s="422"/>
      <c r="AD120" s="445"/>
      <c r="BI120" s="445"/>
      <c r="BJ120" s="267"/>
      <c r="BK120" s="267"/>
      <c r="BL120" s="267"/>
    </row>
    <row r="121" spans="1:64" ht="15.75" hidden="1" customHeight="1" x14ac:dyDescent="0.25">
      <c r="A121" s="243"/>
      <c r="B121" s="466" t="s">
        <v>540</v>
      </c>
      <c r="C121" s="467"/>
      <c r="D121" s="459">
        <f>+D119+D120</f>
        <v>45.017248804008943</v>
      </c>
      <c r="E121" s="470">
        <f>+E119+E120</f>
        <v>-1977.7718131169186</v>
      </c>
      <c r="F121" s="390"/>
      <c r="G121" s="391"/>
      <c r="H121" s="391"/>
      <c r="I121" s="391"/>
      <c r="J121" s="363"/>
      <c r="K121" s="439"/>
      <c r="L121" s="392"/>
      <c r="M121" s="442">
        <f>+D121-L121</f>
        <v>45.017248804008943</v>
      </c>
      <c r="AD121" s="445"/>
      <c r="BI121" s="445"/>
      <c r="BJ121" s="267"/>
      <c r="BK121" s="267"/>
      <c r="BL121" s="267"/>
    </row>
    <row r="122" spans="1:64" ht="15.75" x14ac:dyDescent="0.25">
      <c r="A122" s="243"/>
      <c r="B122" s="406" t="s">
        <v>541</v>
      </c>
      <c r="C122" s="471"/>
      <c r="D122" s="472">
        <f>+D473</f>
        <v>6.4855479439952055E-2</v>
      </c>
      <c r="E122" s="473">
        <f>+E473</f>
        <v>-0.75226749505236212</v>
      </c>
      <c r="F122" s="390"/>
      <c r="G122" s="391"/>
      <c r="H122" s="391"/>
      <c r="I122" s="391"/>
      <c r="J122" s="363"/>
      <c r="K122" s="442"/>
      <c r="L122" s="392"/>
      <c r="M122" s="392"/>
    </row>
    <row r="123" spans="1:64" ht="14.25" customHeight="1" x14ac:dyDescent="0.25">
      <c r="A123" s="243"/>
      <c r="B123" s="474" t="s">
        <v>542</v>
      </c>
      <c r="C123" s="475"/>
      <c r="D123" s="288">
        <f>+D479</f>
        <v>6.4855479439952055E-2</v>
      </c>
      <c r="E123" s="289">
        <f>+E479</f>
        <v>-0.75226749505236212</v>
      </c>
      <c r="F123" s="390"/>
      <c r="G123" s="391"/>
      <c r="H123" s="391"/>
      <c r="I123" s="391"/>
      <c r="J123" s="476">
        <f>+J109*10^7</f>
        <v>8.9386276158620603E-5</v>
      </c>
      <c r="K123" s="397"/>
      <c r="L123" s="392"/>
      <c r="M123" s="392"/>
    </row>
    <row r="124" spans="1:64" ht="15.75" x14ac:dyDescent="0.25">
      <c r="A124" s="243"/>
      <c r="B124" s="431" t="s">
        <v>459</v>
      </c>
      <c r="C124" s="477"/>
      <c r="D124" s="478"/>
      <c r="E124" s="479"/>
      <c r="F124" s="390"/>
      <c r="G124" s="391"/>
      <c r="H124" s="391"/>
      <c r="I124" s="391"/>
      <c r="J124" s="420"/>
      <c r="L124" s="392"/>
      <c r="M124" s="392"/>
    </row>
    <row r="125" spans="1:64" ht="15.75" x14ac:dyDescent="0.25">
      <c r="A125" s="243"/>
      <c r="B125" s="466" t="str">
        <f>+B61</f>
        <v>For Ummed Jain &amp; Co.</v>
      </c>
      <c r="C125" s="480" t="s">
        <v>461</v>
      </c>
      <c r="D125" s="455"/>
      <c r="E125" s="481"/>
      <c r="F125" s="390"/>
      <c r="G125" s="391"/>
      <c r="H125" s="391"/>
      <c r="I125" s="391"/>
      <c r="J125" s="363"/>
      <c r="K125" s="482"/>
      <c r="L125" s="392"/>
      <c r="M125" s="392"/>
    </row>
    <row r="126" spans="1:64" ht="15.75" x14ac:dyDescent="0.25">
      <c r="A126" s="243"/>
      <c r="B126" s="378" t="str">
        <f>+B62</f>
        <v>Chartered Accountants</v>
      </c>
      <c r="C126" s="483"/>
      <c r="D126" s="455"/>
      <c r="E126" s="481"/>
      <c r="F126" s="390">
        <v>810.82</v>
      </c>
      <c r="G126" s="391"/>
      <c r="H126" s="391"/>
      <c r="I126" s="391"/>
      <c r="J126" s="363"/>
      <c r="L126" s="392"/>
      <c r="M126" s="392"/>
    </row>
    <row r="127" spans="1:64" ht="15.75" x14ac:dyDescent="0.25">
      <c r="A127" s="243"/>
      <c r="B127" s="378" t="str">
        <f>+B63</f>
        <v>(FRN  -119250W)</v>
      </c>
      <c r="C127" s="483"/>
      <c r="D127" s="455"/>
      <c r="E127" s="481"/>
      <c r="F127" s="390">
        <f>+E109+F126</f>
        <v>-1166.9518131169184</v>
      </c>
      <c r="G127" s="391"/>
      <c r="H127" s="391"/>
      <c r="I127" s="391"/>
      <c r="J127" s="363"/>
      <c r="L127" s="484"/>
      <c r="M127" s="392"/>
    </row>
    <row r="128" spans="1:64" ht="30" customHeight="1" x14ac:dyDescent="0.25">
      <c r="A128" s="243"/>
      <c r="B128" s="378"/>
      <c r="C128" s="483"/>
      <c r="D128" s="455"/>
      <c r="E128" s="481"/>
      <c r="F128" s="390"/>
      <c r="G128" s="391"/>
      <c r="H128" s="391"/>
      <c r="I128" s="391"/>
      <c r="J128" s="363"/>
      <c r="K128" s="485"/>
      <c r="L128" s="392"/>
      <c r="M128" s="392"/>
    </row>
    <row r="129" spans="1:67" ht="15.75" x14ac:dyDescent="0.25">
      <c r="A129" s="243"/>
      <c r="B129" s="369" t="str">
        <f>+B65</f>
        <v>(CA U. M. Jain)</v>
      </c>
      <c r="C129" s="486"/>
      <c r="D129" s="487"/>
      <c r="E129" s="488"/>
      <c r="F129" s="390"/>
      <c r="G129" s="391"/>
      <c r="H129" s="391"/>
      <c r="I129" s="391"/>
      <c r="J129" s="363"/>
      <c r="L129" s="392"/>
      <c r="M129" s="392"/>
    </row>
    <row r="130" spans="1:67" ht="15.75" x14ac:dyDescent="0.25">
      <c r="A130" s="243"/>
      <c r="B130" s="369" t="str">
        <f>+B66</f>
        <v>Partner (ICAI M No. 070863)</v>
      </c>
      <c r="C130" s="489" t="str">
        <f>+C66</f>
        <v>Balasaheb Thite</v>
      </c>
      <c r="D130" s="248"/>
      <c r="E130" s="490" t="str">
        <f>+E66</f>
        <v>Dr.P. Anbalagan</v>
      </c>
      <c r="L130" s="392"/>
      <c r="M130" s="392">
        <f>+D97+D106</f>
        <v>184.30994070400894</v>
      </c>
      <c r="N130" s="242" t="s">
        <v>543</v>
      </c>
    </row>
    <row r="131" spans="1:67" ht="15.75" x14ac:dyDescent="0.25">
      <c r="A131" s="243"/>
      <c r="B131" s="378"/>
      <c r="C131" s="370" t="str">
        <f>+C67</f>
        <v>Director (Finance) &amp; CFO</v>
      </c>
      <c r="D131" s="248"/>
      <c r="E131" s="491" t="str">
        <f>+E67</f>
        <v>Chairman &amp; Managing Director</v>
      </c>
      <c r="L131" s="392"/>
      <c r="M131" s="392">
        <f>+D101</f>
        <v>182.48552272399999</v>
      </c>
      <c r="N131" s="242" t="s">
        <v>544</v>
      </c>
    </row>
    <row r="132" spans="1:67" ht="15.75" x14ac:dyDescent="0.25">
      <c r="A132" s="243"/>
      <c r="B132" s="466" t="str">
        <f>+B68</f>
        <v>For Shah and Taparia</v>
      </c>
      <c r="C132" s="490" t="str">
        <f>C68</f>
        <v xml:space="preserve"> DIN No.08923676</v>
      </c>
      <c r="D132" s="248"/>
      <c r="E132" s="490" t="str">
        <f>+E68</f>
        <v>DIN No.05117747</v>
      </c>
      <c r="L132" s="392"/>
      <c r="M132" s="392">
        <f>+M130-M131</f>
        <v>1.8244179800089455</v>
      </c>
      <c r="N132" s="242" t="s">
        <v>545</v>
      </c>
    </row>
    <row r="133" spans="1:67" ht="15.75" x14ac:dyDescent="0.25">
      <c r="A133" s="243"/>
      <c r="B133" s="378" t="s">
        <v>462</v>
      </c>
      <c r="C133" s="483"/>
      <c r="D133" s="248"/>
      <c r="E133" s="430"/>
      <c r="L133" s="392"/>
      <c r="M133" s="392"/>
    </row>
    <row r="134" spans="1:67" ht="15.75" x14ac:dyDescent="0.25">
      <c r="A134" s="243"/>
      <c r="B134" s="378" t="str">
        <f>+B70</f>
        <v>(FRN  - 109463W )</v>
      </c>
      <c r="C134" s="483"/>
      <c r="D134" s="248"/>
      <c r="E134" s="430"/>
      <c r="L134" s="392"/>
      <c r="M134" s="392"/>
    </row>
    <row r="135" spans="1:67" ht="15" customHeight="1" x14ac:dyDescent="0.25">
      <c r="A135" s="243"/>
      <c r="B135" s="437"/>
      <c r="C135" s="483"/>
      <c r="D135" s="248"/>
      <c r="E135" s="430"/>
      <c r="L135" s="392"/>
      <c r="M135" s="392"/>
    </row>
    <row r="136" spans="1:67" ht="15" customHeight="1" x14ac:dyDescent="0.25">
      <c r="A136" s="243"/>
      <c r="B136" s="378"/>
      <c r="C136" s="492" t="str">
        <f>+C72</f>
        <v>Vishwanath Kulkarni</v>
      </c>
      <c r="D136" s="493"/>
      <c r="E136" s="494" t="str">
        <f>+E72</f>
        <v>Rahul Dubey</v>
      </c>
      <c r="L136" s="392"/>
      <c r="M136" s="392"/>
    </row>
    <row r="137" spans="1:67" ht="15" customHeight="1" x14ac:dyDescent="0.25">
      <c r="A137" s="243"/>
      <c r="B137" s="378" t="str">
        <f>B72</f>
        <v>(CA Bharat Ramesh Joshi)</v>
      </c>
      <c r="C137" s="492" t="str">
        <f>+C73</f>
        <v>Chief General Manager (A/c)</v>
      </c>
      <c r="D137" s="493"/>
      <c r="E137" s="494" t="str">
        <f>+E73</f>
        <v>Company Secretary</v>
      </c>
      <c r="L137" s="392"/>
      <c r="M137" s="392"/>
    </row>
    <row r="138" spans="1:67" ht="15.75" x14ac:dyDescent="0.25">
      <c r="A138" s="243"/>
      <c r="B138" s="378" t="str">
        <f>+B73</f>
        <v>Partner (ICAI M No. 130863)</v>
      </c>
      <c r="C138" s="495"/>
      <c r="D138" s="493"/>
      <c r="E138" s="494" t="str">
        <f>+E74</f>
        <v>M No. A14213</v>
      </c>
      <c r="L138" s="392"/>
      <c r="M138" s="392"/>
    </row>
    <row r="139" spans="1:67" ht="15.75" x14ac:dyDescent="0.25">
      <c r="A139" s="243"/>
      <c r="B139" s="383" t="str">
        <f>+B74</f>
        <v>Mumbai, 20th September, 2024</v>
      </c>
      <c r="C139" s="496"/>
      <c r="D139" s="496"/>
      <c r="E139" s="497"/>
      <c r="L139" s="392"/>
      <c r="M139" s="392"/>
    </row>
    <row r="140" spans="1:67" ht="18" customHeight="1" x14ac:dyDescent="0.25">
      <c r="A140" s="243"/>
      <c r="B140" s="385"/>
      <c r="C140" s="384"/>
      <c r="D140" s="498"/>
      <c r="E140" s="498"/>
      <c r="BI140" s="499"/>
      <c r="BJ140" s="499"/>
      <c r="BK140" s="499"/>
    </row>
    <row r="141" spans="1:67" ht="15.75" x14ac:dyDescent="0.25">
      <c r="A141" s="500"/>
      <c r="B141" s="501" t="s">
        <v>546</v>
      </c>
      <c r="C141" s="502"/>
      <c r="D141" s="503"/>
      <c r="E141" s="504" t="s">
        <v>547</v>
      </c>
      <c r="F141" s="504" t="s">
        <v>547</v>
      </c>
      <c r="G141" s="505"/>
      <c r="H141" s="505"/>
      <c r="I141" s="505"/>
      <c r="BI141" s="506"/>
      <c r="BJ141" s="506"/>
      <c r="BK141" s="506"/>
    </row>
    <row r="142" spans="1:67" ht="20.25" customHeight="1" x14ac:dyDescent="0.25">
      <c r="A142" s="500"/>
      <c r="B142" s="507"/>
      <c r="C142" s="508"/>
      <c r="D142" s="509" t="str">
        <f>D3</f>
        <v>31.03.2024</v>
      </c>
      <c r="E142" s="510" t="str">
        <f>E3</f>
        <v>31.03.2023 (RESTATED)</v>
      </c>
      <c r="F142" s="511" t="str">
        <f>F3</f>
        <v>01.04.2022</v>
      </c>
      <c r="G142" s="511"/>
      <c r="H142" s="511"/>
      <c r="I142" s="511"/>
      <c r="J142" s="257"/>
      <c r="BI142" s="506"/>
      <c r="BJ142" s="506"/>
      <c r="BK142" s="506"/>
      <c r="BL142" s="269">
        <f>+'[15]Consolidated Balancesheet &amp; P&amp;L'!I263</f>
        <v>8.2676594290000001</v>
      </c>
      <c r="BM142" s="269">
        <f>+'[15]Consolidated Balancesheet &amp; P&amp;L'!J263</f>
        <v>8.2643894289999995</v>
      </c>
      <c r="BN142" s="512">
        <f>+BJ142-BL142</f>
        <v>-8.2676594290000001</v>
      </c>
      <c r="BO142" s="512">
        <f>+BK142-BM142</f>
        <v>-8.2643894289999995</v>
      </c>
    </row>
    <row r="143" spans="1:67" x14ac:dyDescent="0.25">
      <c r="A143" s="513">
        <v>3</v>
      </c>
      <c r="B143" s="514" t="s">
        <v>548</v>
      </c>
      <c r="C143" s="515"/>
      <c r="D143" s="516"/>
      <c r="E143" s="517"/>
      <c r="F143" s="518"/>
      <c r="G143" s="518"/>
      <c r="H143" s="518"/>
      <c r="I143" s="518"/>
      <c r="J143" s="266"/>
      <c r="AE143" s="243">
        <f>+A143</f>
        <v>3</v>
      </c>
      <c r="BI143" s="506"/>
      <c r="BJ143" s="506"/>
      <c r="BK143" s="506"/>
    </row>
    <row r="144" spans="1:67" ht="21" customHeight="1" x14ac:dyDescent="0.25">
      <c r="A144" s="519"/>
      <c r="B144" s="520" t="s">
        <v>549</v>
      </c>
      <c r="C144" s="486"/>
      <c r="D144" s="521"/>
      <c r="E144" s="522"/>
      <c r="F144" s="518"/>
      <c r="G144" s="518"/>
      <c r="H144" s="518"/>
      <c r="I144" s="518"/>
      <c r="J144" s="266"/>
      <c r="BI144" s="523"/>
      <c r="BJ144" s="523"/>
      <c r="BK144" s="523"/>
    </row>
    <row r="145" spans="1:63" x14ac:dyDescent="0.25">
      <c r="A145" s="519"/>
      <c r="B145" s="524" t="s">
        <v>550</v>
      </c>
      <c r="C145" s="525"/>
      <c r="D145" s="521"/>
      <c r="E145" s="522"/>
      <c r="F145" s="518"/>
      <c r="G145" s="518"/>
      <c r="H145" s="518"/>
      <c r="I145" s="518"/>
      <c r="J145" s="266"/>
      <c r="BI145" s="250"/>
      <c r="BJ145" s="250"/>
      <c r="BK145" s="267"/>
    </row>
    <row r="146" spans="1:63" ht="34.5" customHeight="1" x14ac:dyDescent="0.25">
      <c r="A146" s="519"/>
      <c r="B146" s="526" t="s">
        <v>551</v>
      </c>
      <c r="C146" s="527"/>
      <c r="D146" s="521"/>
      <c r="E146" s="522"/>
      <c r="F146" s="518"/>
      <c r="G146" s="518"/>
      <c r="H146" s="518"/>
      <c r="I146" s="518"/>
      <c r="J146" s="266"/>
      <c r="BI146" s="242"/>
      <c r="BJ146" s="242"/>
    </row>
    <row r="147" spans="1:63" x14ac:dyDescent="0.25">
      <c r="A147" s="519"/>
      <c r="B147" s="528" t="s">
        <v>552</v>
      </c>
      <c r="C147" s="527"/>
      <c r="D147" s="529">
        <f>'[15]Balance sheet groupings'!D119</f>
        <v>0.05</v>
      </c>
      <c r="E147" s="530">
        <f>'[15]Balance sheet groupings'!F119</f>
        <v>0.05</v>
      </c>
      <c r="F147" s="529">
        <v>0.05</v>
      </c>
      <c r="G147" s="529"/>
      <c r="H147" s="529"/>
      <c r="I147" s="529"/>
      <c r="J147" s="366"/>
      <c r="BI147" s="242"/>
      <c r="BJ147" s="242"/>
    </row>
    <row r="148" spans="1:63" x14ac:dyDescent="0.25">
      <c r="A148" s="519"/>
      <c r="B148" s="528" t="s">
        <v>553</v>
      </c>
      <c r="C148" s="527"/>
      <c r="D148" s="531">
        <f>'[15]Balance sheet groupings'!D129</f>
        <v>2.0998617039999998</v>
      </c>
      <c r="E148" s="532">
        <f>'[15]Balance sheet groupings'!F129</f>
        <v>1.8209302000000001</v>
      </c>
      <c r="F148" s="529">
        <v>1.7216032999999999</v>
      </c>
      <c r="G148" s="529"/>
      <c r="H148" s="529"/>
      <c r="I148" s="529"/>
      <c r="J148" s="366"/>
      <c r="L148" s="268" t="s">
        <v>554</v>
      </c>
      <c r="M148" s="241">
        <v>1.2552973289999967</v>
      </c>
      <c r="BI148" s="242"/>
      <c r="BJ148" s="242"/>
    </row>
    <row r="149" spans="1:63" x14ac:dyDescent="0.25">
      <c r="A149" s="519"/>
      <c r="B149" s="526"/>
      <c r="C149" s="527"/>
      <c r="D149" s="533">
        <f>SUM(D147:D148)</f>
        <v>2.1498617039999997</v>
      </c>
      <c r="E149" s="530">
        <f>SUM(E147:E148)</f>
        <v>1.8709302000000001</v>
      </c>
      <c r="F149" s="530">
        <f>SUM(F147:F148)</f>
        <v>1.7716033</v>
      </c>
      <c r="G149" s="277"/>
      <c r="H149" s="277"/>
      <c r="I149" s="277"/>
      <c r="J149" s="366"/>
      <c r="L149" s="268" t="s">
        <v>555</v>
      </c>
      <c r="M149" s="241">
        <v>0.55589999999999995</v>
      </c>
      <c r="BI149" s="242"/>
      <c r="BJ149" s="242"/>
    </row>
    <row r="150" spans="1:63" x14ac:dyDescent="0.25">
      <c r="A150" s="519"/>
      <c r="B150" s="526"/>
      <c r="C150" s="527"/>
      <c r="D150" s="529"/>
      <c r="E150" s="530"/>
      <c r="F150" s="529"/>
      <c r="G150" s="529"/>
      <c r="H150" s="529"/>
      <c r="I150" s="529"/>
      <c r="J150" s="366"/>
      <c r="L150" s="268" t="s">
        <v>556</v>
      </c>
      <c r="M150" s="241">
        <v>41.253665754000004</v>
      </c>
      <c r="BI150" s="242"/>
      <c r="BJ150" s="242"/>
    </row>
    <row r="151" spans="1:63" x14ac:dyDescent="0.25">
      <c r="A151" s="519"/>
      <c r="B151" s="528" t="s">
        <v>557</v>
      </c>
      <c r="C151" s="527"/>
      <c r="D151" s="534"/>
      <c r="E151" s="535"/>
      <c r="F151" s="529"/>
      <c r="G151" s="529"/>
      <c r="H151" s="529"/>
      <c r="I151" s="529"/>
      <c r="J151" s="267"/>
      <c r="BI151" s="242"/>
      <c r="BJ151" s="242"/>
    </row>
    <row r="152" spans="1:63" x14ac:dyDescent="0.25">
      <c r="A152" s="519"/>
      <c r="B152" s="528" t="s">
        <v>558</v>
      </c>
      <c r="C152" s="527"/>
      <c r="D152" s="529">
        <f>'[15]Balance sheet groupings'!D120</f>
        <v>0.05</v>
      </c>
      <c r="E152" s="530">
        <f>'[15]Balance sheet groupings'!F120</f>
        <v>0.05</v>
      </c>
      <c r="F152" s="529">
        <v>0.05</v>
      </c>
      <c r="G152" s="529"/>
      <c r="H152" s="529"/>
      <c r="I152" s="529"/>
      <c r="J152" s="366"/>
      <c r="L152" s="268" t="s">
        <v>559</v>
      </c>
      <c r="M152" s="241">
        <v>43.064863082999999</v>
      </c>
      <c r="BI152" s="242"/>
      <c r="BJ152" s="242"/>
    </row>
    <row r="153" spans="1:63" x14ac:dyDescent="0.25">
      <c r="A153" s="519"/>
      <c r="B153" s="528" t="s">
        <v>553</v>
      </c>
      <c r="C153" s="527"/>
      <c r="D153" s="529">
        <f>'[15]Balance sheet groupings'!D130</f>
        <v>6.200139429</v>
      </c>
      <c r="E153" s="530">
        <f>'[15]Balance sheet groupings'!F130</f>
        <v>6.1968694289999995</v>
      </c>
      <c r="F153" s="529">
        <v>6.1937194289999997</v>
      </c>
      <c r="G153" s="529"/>
      <c r="H153" s="529"/>
      <c r="I153" s="529"/>
      <c r="J153" s="366"/>
      <c r="BI153" s="242"/>
      <c r="BJ153" s="242"/>
    </row>
    <row r="154" spans="1:63" ht="28.5" x14ac:dyDescent="0.25">
      <c r="A154" s="519"/>
      <c r="B154" s="526" t="s">
        <v>560</v>
      </c>
      <c r="C154" s="527"/>
      <c r="D154" s="531">
        <f>-('[15]Balance sheet groupings'!C139+'[15]Balance sheet groupings'!C146)</f>
        <v>-6.2501394289999954</v>
      </c>
      <c r="E154" s="532">
        <f>-('[15]Balance sheet groupings'!E139+'[15]Balance sheet groupings'!E146)</f>
        <v>-6.2468694289999922</v>
      </c>
      <c r="F154" s="529">
        <v>-6.2437194290000004</v>
      </c>
      <c r="G154" s="529"/>
      <c r="H154" s="529"/>
      <c r="I154" s="529"/>
      <c r="J154" s="366">
        <f>SUM(F152:F153)</f>
        <v>6.2437194289999995</v>
      </c>
      <c r="L154" s="268" t="s">
        <v>554</v>
      </c>
      <c r="M154" s="241">
        <v>0.05</v>
      </c>
      <c r="N154" s="536">
        <f>+M148+M154</f>
        <v>1.3052973289999967</v>
      </c>
      <c r="BI154" s="242"/>
      <c r="BJ154" s="242"/>
    </row>
    <row r="155" spans="1:63" x14ac:dyDescent="0.25">
      <c r="A155" s="519"/>
      <c r="B155" s="526"/>
      <c r="C155" s="527"/>
      <c r="D155" s="529">
        <f>SUM(D152:D154)</f>
        <v>0</v>
      </c>
      <c r="E155" s="530">
        <f>SUM(E152:E154)</f>
        <v>7.1054273576010019E-15</v>
      </c>
      <c r="F155" s="530">
        <f>SUM(F152:F154)</f>
        <v>0</v>
      </c>
      <c r="G155" s="277"/>
      <c r="H155" s="277"/>
      <c r="I155" s="277"/>
      <c r="J155" s="366"/>
      <c r="L155" s="268" t="s">
        <v>555</v>
      </c>
      <c r="M155" s="241">
        <v>0.03</v>
      </c>
      <c r="N155" s="536">
        <f t="shared" ref="N155:N156" si="20">+M149+M155</f>
        <v>0.58589999999999998</v>
      </c>
      <c r="BI155" s="242"/>
      <c r="BJ155" s="242"/>
    </row>
    <row r="156" spans="1:63" x14ac:dyDescent="0.25">
      <c r="A156" s="519"/>
      <c r="B156" s="526"/>
      <c r="C156" s="527"/>
      <c r="D156" s="529"/>
      <c r="E156" s="530"/>
      <c r="F156" s="529"/>
      <c r="G156" s="529"/>
      <c r="H156" s="529"/>
      <c r="I156" s="529"/>
      <c r="J156" s="366"/>
      <c r="L156" s="268" t="s">
        <v>556</v>
      </c>
      <c r="M156" s="241">
        <v>0.03</v>
      </c>
      <c r="N156" s="536">
        <f t="shared" si="20"/>
        <v>41.283665754000005</v>
      </c>
      <c r="BI156" s="242"/>
      <c r="BJ156" s="242"/>
    </row>
    <row r="157" spans="1:63" x14ac:dyDescent="0.25">
      <c r="A157" s="519"/>
      <c r="B157" s="526" t="s">
        <v>561</v>
      </c>
      <c r="C157" s="527"/>
      <c r="D157" s="529"/>
      <c r="E157" s="530"/>
      <c r="F157" s="529"/>
      <c r="G157" s="529"/>
      <c r="H157" s="529"/>
      <c r="I157" s="529"/>
      <c r="J157" s="366"/>
      <c r="N157" s="536">
        <f>SUM(N154:N156)</f>
        <v>43.174863082999998</v>
      </c>
      <c r="BI157" s="242"/>
      <c r="BJ157" s="242"/>
    </row>
    <row r="158" spans="1:63" x14ac:dyDescent="0.25">
      <c r="A158" s="519"/>
      <c r="B158" s="528" t="s">
        <v>562</v>
      </c>
      <c r="C158" s="527"/>
      <c r="D158" s="529">
        <f>'[15]Balance sheet groupings'!D121</f>
        <v>0.03</v>
      </c>
      <c r="E158" s="530">
        <f>'[15]Balance sheet groupings'!F121</f>
        <v>0.03</v>
      </c>
      <c r="F158" s="529">
        <v>0.03</v>
      </c>
      <c r="G158" s="529"/>
      <c r="H158" s="529"/>
      <c r="I158" s="529"/>
      <c r="J158" s="366"/>
      <c r="BI158" s="242"/>
      <c r="BJ158" s="242"/>
    </row>
    <row r="159" spans="1:63" x14ac:dyDescent="0.25">
      <c r="A159" s="519"/>
      <c r="B159" s="528" t="s">
        <v>553</v>
      </c>
      <c r="C159" s="527"/>
      <c r="D159" s="529">
        <f>'[15]Balance sheet groupings'!D133</f>
        <v>0.55589999999999995</v>
      </c>
      <c r="E159" s="530">
        <f>'[15]Balance sheet groupings'!F133</f>
        <v>0.46325</v>
      </c>
      <c r="F159" s="529">
        <v>0.46325</v>
      </c>
      <c r="G159" s="529"/>
      <c r="H159" s="529"/>
      <c r="I159" s="529"/>
      <c r="J159" s="366"/>
      <c r="BI159" s="242"/>
      <c r="BJ159" s="242"/>
    </row>
    <row r="160" spans="1:63" ht="28.5" x14ac:dyDescent="0.25">
      <c r="A160" s="519"/>
      <c r="B160" s="526" t="s">
        <v>560</v>
      </c>
      <c r="C160" s="527"/>
      <c r="D160" s="531">
        <f>-('[15]Balance sheet groupings'!C140+'[15]Balance sheet groupings'!C147)</f>
        <v>-0.58589999999999998</v>
      </c>
      <c r="E160" s="532">
        <f>-('[15]Balance sheet groupings'!E140+'[15]Balance sheet groupings'!E147)</f>
        <v>-0.49324999999999997</v>
      </c>
      <c r="F160" s="529">
        <v>-0.49325000000000002</v>
      </c>
      <c r="G160" s="529"/>
      <c r="H160" s="529"/>
      <c r="I160" s="529"/>
      <c r="J160" s="537"/>
      <c r="BI160" s="242"/>
      <c r="BJ160" s="242"/>
    </row>
    <row r="161" spans="1:62" x14ac:dyDescent="0.25">
      <c r="A161" s="519"/>
      <c r="B161" s="526"/>
      <c r="C161" s="527"/>
      <c r="D161" s="529">
        <f>SUM(D158:D160)</f>
        <v>0</v>
      </c>
      <c r="E161" s="530">
        <f>SUM(E158:E160)</f>
        <v>0</v>
      </c>
      <c r="F161" s="530">
        <f>SUM(F158:F160)</f>
        <v>0</v>
      </c>
      <c r="G161" s="277"/>
      <c r="H161" s="277"/>
      <c r="I161" s="277"/>
      <c r="J161" s="366"/>
      <c r="BI161" s="242"/>
      <c r="BJ161" s="242"/>
    </row>
    <row r="162" spans="1:62" x14ac:dyDescent="0.25">
      <c r="A162" s="519"/>
      <c r="B162" s="538" t="s">
        <v>563</v>
      </c>
      <c r="C162" s="527"/>
      <c r="D162" s="529"/>
      <c r="E162" s="530"/>
      <c r="F162" s="529"/>
      <c r="G162" s="529"/>
      <c r="H162" s="529"/>
      <c r="I162" s="529"/>
      <c r="J162" s="366"/>
      <c r="BI162" s="242"/>
      <c r="BJ162" s="242"/>
    </row>
    <row r="163" spans="1:62" x14ac:dyDescent="0.25">
      <c r="A163" s="519"/>
      <c r="B163" s="539" t="s">
        <v>564</v>
      </c>
      <c r="C163" s="527"/>
      <c r="D163" s="529">
        <f>'[15]Balance sheet groupings'!D122</f>
        <v>0.03</v>
      </c>
      <c r="E163" s="530">
        <f>'[15]Balance sheet groupings'!F122</f>
        <v>0.03</v>
      </c>
      <c r="F163" s="529">
        <v>0.03</v>
      </c>
      <c r="G163" s="529"/>
      <c r="H163" s="529"/>
      <c r="I163" s="529"/>
      <c r="J163" s="366"/>
      <c r="BI163" s="242"/>
      <c r="BJ163" s="242"/>
    </row>
    <row r="164" spans="1:62" x14ac:dyDescent="0.25">
      <c r="A164" s="519"/>
      <c r="B164" s="528" t="s">
        <v>553</v>
      </c>
      <c r="C164" s="527"/>
      <c r="D164" s="529">
        <f>'[15]Balance sheet groupings'!D134</f>
        <v>41.253665754000004</v>
      </c>
      <c r="E164" s="530">
        <f>'[15]Balance sheet groupings'!F134</f>
        <v>41.093311154000006</v>
      </c>
      <c r="F164" s="529">
        <v>40.798698154</v>
      </c>
      <c r="G164" s="529"/>
      <c r="H164" s="529"/>
      <c r="I164" s="529"/>
      <c r="J164" s="366"/>
      <c r="BI164" s="242"/>
      <c r="BJ164" s="242"/>
    </row>
    <row r="165" spans="1:62" ht="28.5" x14ac:dyDescent="0.25">
      <c r="A165" s="519"/>
      <c r="B165" s="526" t="s">
        <v>560</v>
      </c>
      <c r="C165" s="527"/>
      <c r="D165" s="531">
        <f>-('[15]Balance sheet groupings'!C141+'[15]Balance sheet groupings'!C148)</f>
        <v>-41.283665754000005</v>
      </c>
      <c r="E165" s="532">
        <f>-('[15]Balance sheet groupings'!E141+'[15]Balance sheet groupings'!E148)</f>
        <v>-41.123311154000007</v>
      </c>
      <c r="F165" s="529">
        <v>-40.828698154000001</v>
      </c>
      <c r="G165" s="529"/>
      <c r="H165" s="529"/>
      <c r="I165" s="529"/>
      <c r="J165" s="366">
        <f>SUM(F163:F164)</f>
        <v>40.828698154000001</v>
      </c>
      <c r="L165" s="356">
        <f>+D165+D160+D154</f>
        <v>-48.119705183000001</v>
      </c>
      <c r="BI165" s="242"/>
      <c r="BJ165" s="242"/>
    </row>
    <row r="166" spans="1:62" x14ac:dyDescent="0.25">
      <c r="A166" s="519"/>
      <c r="B166" s="540"/>
      <c r="C166" s="527"/>
      <c r="D166" s="529">
        <f>SUM(D163:D165)</f>
        <v>0</v>
      </c>
      <c r="E166" s="530">
        <f>SUM(E163:E165)</f>
        <v>0</v>
      </c>
      <c r="F166" s="530">
        <f>SUM(F163:F165)</f>
        <v>0</v>
      </c>
      <c r="G166" s="277"/>
      <c r="H166" s="277"/>
      <c r="I166" s="277"/>
      <c r="J166" s="366"/>
      <c r="L166" s="268">
        <v>-43.174863082999998</v>
      </c>
    </row>
    <row r="167" spans="1:62" x14ac:dyDescent="0.25">
      <c r="A167" s="519"/>
      <c r="B167" s="541" t="s">
        <v>565</v>
      </c>
      <c r="C167" s="527"/>
      <c r="D167" s="529"/>
      <c r="E167" s="530"/>
      <c r="F167" s="529"/>
      <c r="G167" s="529"/>
      <c r="H167" s="529"/>
      <c r="I167" s="529"/>
      <c r="J167" s="366"/>
      <c r="L167" s="542">
        <f>+L165-L166</f>
        <v>-4.9448421000000025</v>
      </c>
    </row>
    <row r="168" spans="1:62" x14ac:dyDescent="0.25">
      <c r="A168" s="519"/>
      <c r="B168" s="541" t="s">
        <v>566</v>
      </c>
      <c r="C168" s="527"/>
      <c r="D168" s="529">
        <f>+'[15]Balance sheet groupings'!D124</f>
        <v>0.52</v>
      </c>
      <c r="E168" s="530">
        <f>+'[15]Balance sheet groupings'!F124</f>
        <v>0.52</v>
      </c>
      <c r="F168" s="529">
        <v>0.52</v>
      </c>
      <c r="G168" s="529"/>
      <c r="H168" s="529"/>
      <c r="I168" s="529"/>
      <c r="J168" s="366"/>
    </row>
    <row r="169" spans="1:62" x14ac:dyDescent="0.25">
      <c r="A169" s="519"/>
      <c r="B169" s="541"/>
      <c r="C169" s="527"/>
      <c r="D169" s="529"/>
      <c r="E169" s="530"/>
      <c r="F169" s="529"/>
      <c r="G169" s="529"/>
      <c r="H169" s="529"/>
      <c r="I169" s="529"/>
      <c r="J169" s="366"/>
    </row>
    <row r="170" spans="1:62" ht="15.75" thickBot="1" x14ac:dyDescent="0.3">
      <c r="A170" s="519"/>
      <c r="B170" s="524" t="s">
        <v>567</v>
      </c>
      <c r="C170" s="527"/>
      <c r="D170" s="543">
        <f>D149+D155+D161+D166+D168</f>
        <v>2.6698617039999997</v>
      </c>
      <c r="E170" s="544">
        <f>E149+E155+E161+E166+E168</f>
        <v>2.3909302000000072</v>
      </c>
      <c r="F170" s="530">
        <f>F149+F155+F161+F166+F168</f>
        <v>2.2916033000000002</v>
      </c>
      <c r="G170" s="277"/>
      <c r="H170" s="277"/>
      <c r="I170" s="277"/>
      <c r="J170" s="366"/>
      <c r="BI170" s="242"/>
      <c r="BJ170" s="242"/>
    </row>
    <row r="171" spans="1:62" ht="15.75" thickTop="1" x14ac:dyDescent="0.25">
      <c r="A171" s="519"/>
      <c r="B171" s="540"/>
      <c r="C171" s="525"/>
      <c r="D171" s="307"/>
      <c r="E171" s="545"/>
      <c r="F171" s="307"/>
      <c r="G171" s="307"/>
      <c r="H171" s="307"/>
      <c r="I171" s="307"/>
      <c r="J171" s="546"/>
      <c r="L171" s="547"/>
    </row>
    <row r="172" spans="1:62" x14ac:dyDescent="0.25">
      <c r="A172" s="548" t="s">
        <v>405</v>
      </c>
      <c r="B172" s="549" t="s">
        <v>568</v>
      </c>
      <c r="C172" s="525"/>
      <c r="D172" s="307"/>
      <c r="E172" s="545"/>
      <c r="F172" s="307"/>
      <c r="G172" s="307"/>
      <c r="H172" s="307"/>
      <c r="I172" s="307"/>
      <c r="J172" s="546"/>
      <c r="L172" s="547"/>
    </row>
    <row r="173" spans="1:62" x14ac:dyDescent="0.25">
      <c r="A173" s="519"/>
      <c r="B173" s="550" t="s">
        <v>569</v>
      </c>
      <c r="C173" s="525"/>
      <c r="D173" s="529">
        <f>'[15]Balance sheet groupings'!D157</f>
        <v>153.9352332</v>
      </c>
      <c r="E173" s="530">
        <f>'[15]Balance sheet groupings'!F157</f>
        <v>91.206204</v>
      </c>
      <c r="F173" s="529">
        <v>89.062062800000007</v>
      </c>
      <c r="G173" s="529"/>
      <c r="H173" s="529"/>
      <c r="I173" s="529"/>
      <c r="J173" s="546"/>
      <c r="L173" s="547"/>
    </row>
    <row r="174" spans="1:62" ht="15.75" thickBot="1" x14ac:dyDescent="0.3">
      <c r="A174" s="519"/>
      <c r="B174" s="540"/>
      <c r="C174" s="525"/>
      <c r="D174" s="551">
        <f>D173</f>
        <v>153.9352332</v>
      </c>
      <c r="E174" s="552">
        <f t="shared" ref="E174:F174" si="21">E173</f>
        <v>91.206204</v>
      </c>
      <c r="F174" s="307">
        <f t="shared" si="21"/>
        <v>89.062062800000007</v>
      </c>
      <c r="G174" s="307"/>
      <c r="H174" s="307"/>
      <c r="I174" s="307"/>
      <c r="J174" s="546"/>
      <c r="L174" s="547"/>
    </row>
    <row r="175" spans="1:62" ht="15.75" thickTop="1" x14ac:dyDescent="0.25">
      <c r="A175" s="519"/>
      <c r="B175" s="540"/>
      <c r="C175" s="525"/>
      <c r="D175" s="307"/>
      <c r="E175" s="545"/>
      <c r="F175" s="307"/>
      <c r="G175" s="307"/>
      <c r="H175" s="307"/>
      <c r="I175" s="307"/>
      <c r="J175" s="546"/>
      <c r="L175" s="547"/>
    </row>
    <row r="176" spans="1:62" x14ac:dyDescent="0.25">
      <c r="A176" s="548" t="s">
        <v>407</v>
      </c>
      <c r="B176" s="549" t="s">
        <v>570</v>
      </c>
      <c r="C176" s="525"/>
      <c r="D176" s="307"/>
      <c r="E176" s="545"/>
      <c r="F176" s="307"/>
      <c r="G176" s="307"/>
      <c r="H176" s="307"/>
      <c r="I176" s="307"/>
      <c r="J176" s="546"/>
      <c r="L176" s="547"/>
    </row>
    <row r="177" spans="1:60" x14ac:dyDescent="0.25">
      <c r="A177" s="519"/>
      <c r="B177" s="550" t="s">
        <v>571</v>
      </c>
      <c r="C177" s="525"/>
      <c r="D177" s="529">
        <f>'[15]Balance sheet groupings'!D162</f>
        <v>4340.3346837788831</v>
      </c>
      <c r="E177" s="530">
        <f>'[15]Balance sheet groupings'!F162</f>
        <v>7256.1938187397327</v>
      </c>
      <c r="F177" s="307"/>
      <c r="G177" s="307"/>
      <c r="H177" s="307"/>
      <c r="I177" s="307"/>
      <c r="J177" s="546"/>
      <c r="L177" s="547"/>
    </row>
    <row r="178" spans="1:60" hidden="1" x14ac:dyDescent="0.25">
      <c r="A178" s="519"/>
      <c r="B178" s="553" t="s">
        <v>572</v>
      </c>
      <c r="C178" s="525"/>
      <c r="D178" s="529"/>
      <c r="E178" s="530"/>
      <c r="F178" s="307"/>
      <c r="G178" s="307"/>
      <c r="H178" s="307"/>
      <c r="I178" s="307"/>
      <c r="J178" s="546"/>
      <c r="L178" s="547"/>
    </row>
    <row r="179" spans="1:60" ht="15.75" thickBot="1" x14ac:dyDescent="0.3">
      <c r="A179" s="519"/>
      <c r="B179" s="540"/>
      <c r="C179" s="525"/>
      <c r="D179" s="551">
        <f>SUM(D177:D178)</f>
        <v>4340.3346837788831</v>
      </c>
      <c r="E179" s="552">
        <f>SUM(E177:E178)</f>
        <v>7256.1938187397327</v>
      </c>
      <c r="F179" s="307">
        <f t="shared" ref="F179" si="22">F177</f>
        <v>0</v>
      </c>
      <c r="G179" s="307"/>
      <c r="H179" s="307"/>
      <c r="I179" s="307"/>
      <c r="J179" s="546"/>
      <c r="L179" s="547"/>
    </row>
    <row r="180" spans="1:60" ht="15.75" thickTop="1" x14ac:dyDescent="0.25">
      <c r="A180" s="519"/>
      <c r="B180" s="540"/>
      <c r="C180" s="525"/>
      <c r="D180" s="307"/>
      <c r="E180" s="545"/>
      <c r="F180" s="307"/>
      <c r="G180" s="307"/>
      <c r="H180" s="307"/>
      <c r="I180" s="307"/>
      <c r="J180" s="546"/>
      <c r="L180" s="547"/>
    </row>
    <row r="181" spans="1:60" x14ac:dyDescent="0.25">
      <c r="A181" s="519">
        <f>+A143+1</f>
        <v>4</v>
      </c>
      <c r="B181" s="549" t="s">
        <v>573</v>
      </c>
      <c r="C181" s="525"/>
      <c r="D181" s="554"/>
      <c r="E181" s="530"/>
      <c r="F181" s="554"/>
      <c r="G181" s="366"/>
      <c r="H181" s="366"/>
      <c r="I181" s="366"/>
      <c r="J181" s="366"/>
      <c r="L181" s="555"/>
      <c r="AE181" s="243">
        <f>+A181</f>
        <v>4</v>
      </c>
    </row>
    <row r="182" spans="1:60" x14ac:dyDescent="0.25">
      <c r="A182" s="519"/>
      <c r="B182" s="553" t="s">
        <v>574</v>
      </c>
      <c r="C182" s="525"/>
      <c r="D182" s="554">
        <f>'[15]Balance sheet groupings'!D174</f>
        <v>281.01642487299995</v>
      </c>
      <c r="E182" s="530">
        <f>'[15]Balance sheet groupings'!F174</f>
        <v>238.76932591899995</v>
      </c>
      <c r="F182" s="554">
        <v>331.85930816000007</v>
      </c>
      <c r="G182" s="366"/>
      <c r="H182" s="366"/>
      <c r="I182" s="366"/>
      <c r="J182" s="366"/>
    </row>
    <row r="183" spans="1:60" x14ac:dyDescent="0.25">
      <c r="A183" s="519"/>
      <c r="B183" s="553" t="s">
        <v>572</v>
      </c>
      <c r="C183" s="525"/>
      <c r="D183" s="531">
        <f>'[15]Balance sheet groupings'!D175+'[15]Balance sheet groupings'!D176</f>
        <v>-281.01642487299995</v>
      </c>
      <c r="E183" s="532">
        <f>'[15]Balance sheet groupings'!F175+'[15]Balance sheet groupings'!F176</f>
        <v>-238.76932591899995</v>
      </c>
      <c r="F183" s="554">
        <f>-F182</f>
        <v>-331.85930816000007</v>
      </c>
      <c r="G183" s="366"/>
      <c r="H183" s="366"/>
      <c r="I183" s="366"/>
      <c r="J183" s="366"/>
    </row>
    <row r="184" spans="1:60" x14ac:dyDescent="0.25">
      <c r="A184" s="519"/>
      <c r="B184" s="556"/>
      <c r="C184" s="525"/>
      <c r="D184" s="554">
        <f>+D182+D183</f>
        <v>0</v>
      </c>
      <c r="E184" s="557">
        <f>+E182+E183</f>
        <v>0</v>
      </c>
      <c r="F184" s="554">
        <f>+F182+F183</f>
        <v>0</v>
      </c>
      <c r="G184" s="366"/>
      <c r="H184" s="366"/>
      <c r="I184" s="366"/>
    </row>
    <row r="185" spans="1:60" x14ac:dyDescent="0.25">
      <c r="A185" s="519"/>
      <c r="B185" s="556"/>
      <c r="C185" s="525"/>
      <c r="D185" s="554"/>
      <c r="E185" s="530"/>
      <c r="F185" s="554"/>
      <c r="G185" s="366"/>
      <c r="H185" s="366"/>
      <c r="I185" s="366"/>
      <c r="J185" s="366"/>
    </row>
    <row r="186" spans="1:60" s="242" customFormat="1" x14ac:dyDescent="0.25">
      <c r="A186" s="558"/>
      <c r="B186" s="559" t="s">
        <v>575</v>
      </c>
      <c r="C186" s="560"/>
      <c r="D186" s="554">
        <f>'[15]Balance sheet groupings'!D183</f>
        <v>203.595050566</v>
      </c>
      <c r="E186" s="561">
        <f>'[15]Balance sheet groupings'!F183</f>
        <v>203.595050566</v>
      </c>
      <c r="F186" s="248">
        <v>203.595050566</v>
      </c>
      <c r="G186" s="248"/>
      <c r="H186" s="248"/>
      <c r="I186" s="248"/>
      <c r="J186" s="366"/>
      <c r="K186" s="250"/>
      <c r="L186" s="241"/>
      <c r="M186" s="241"/>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row>
    <row r="187" spans="1:60" s="242" customFormat="1" x14ac:dyDescent="0.25">
      <c r="A187" s="558"/>
      <c r="B187" s="553" t="s">
        <v>572</v>
      </c>
      <c r="C187" s="560"/>
      <c r="D187" s="531">
        <f>'[15]Balance sheet groupings'!D184</f>
        <v>-203.595050566</v>
      </c>
      <c r="E187" s="561">
        <f>'[15]Balance sheet groupings'!F184</f>
        <v>-203.595050566</v>
      </c>
      <c r="F187" s="248">
        <f>-F186</f>
        <v>-203.595050566</v>
      </c>
      <c r="G187" s="248"/>
      <c r="H187" s="248"/>
      <c r="I187" s="248"/>
      <c r="J187" s="366"/>
      <c r="K187" s="250"/>
      <c r="L187" s="241"/>
      <c r="M187" s="241"/>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row>
    <row r="188" spans="1:60" s="242" customFormat="1" x14ac:dyDescent="0.25">
      <c r="A188" s="558"/>
      <c r="B188" s="556"/>
      <c r="C188" s="560"/>
      <c r="D188" s="554">
        <f>D186+D187</f>
        <v>0</v>
      </c>
      <c r="E188" s="557">
        <f t="shared" ref="E188:F188" si="23">E186+E187</f>
        <v>0</v>
      </c>
      <c r="F188" s="554">
        <f t="shared" si="23"/>
        <v>0</v>
      </c>
      <c r="G188" s="366"/>
      <c r="H188" s="366"/>
      <c r="I188" s="366"/>
      <c r="J188" s="366"/>
      <c r="K188" s="250"/>
      <c r="L188" s="241"/>
      <c r="M188" s="241"/>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row>
    <row r="189" spans="1:60" s="242" customFormat="1" x14ac:dyDescent="0.25">
      <c r="A189" s="558"/>
      <c r="B189" s="556"/>
      <c r="C189" s="560"/>
      <c r="D189" s="554"/>
      <c r="E189" s="530"/>
      <c r="F189" s="554"/>
      <c r="G189" s="366"/>
      <c r="H189" s="366"/>
      <c r="I189" s="366"/>
      <c r="J189" s="366"/>
      <c r="K189" s="250"/>
      <c r="L189" s="241"/>
      <c r="M189" s="241"/>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row>
    <row r="190" spans="1:60" x14ac:dyDescent="0.25">
      <c r="A190" s="519"/>
      <c r="B190" s="553" t="s">
        <v>576</v>
      </c>
      <c r="C190" s="525"/>
      <c r="D190" s="554">
        <f>'[15]Balance sheet groupings'!D188</f>
        <v>76.211765499999998</v>
      </c>
      <c r="E190" s="530">
        <f>'[15]Balance sheet groupings'!F188</f>
        <v>76.211765499999998</v>
      </c>
      <c r="F190" s="554">
        <v>76.211765499999998</v>
      </c>
      <c r="G190" s="366"/>
      <c r="H190" s="366"/>
      <c r="I190" s="366"/>
      <c r="J190" s="366"/>
    </row>
    <row r="191" spans="1:60" x14ac:dyDescent="0.25">
      <c r="A191" s="519"/>
      <c r="B191" s="553" t="s">
        <v>572</v>
      </c>
      <c r="C191" s="525"/>
      <c r="D191" s="531">
        <f>'[15]Balance sheet groupings'!D189</f>
        <v>-76.211765499999998</v>
      </c>
      <c r="E191" s="532">
        <f>'[15]Balance sheet groupings'!F189</f>
        <v>-76.211765499999998</v>
      </c>
      <c r="F191" s="554">
        <v>-76.211765499999998</v>
      </c>
      <c r="G191" s="366"/>
      <c r="H191" s="366"/>
      <c r="I191" s="366"/>
      <c r="J191" s="366"/>
    </row>
    <row r="192" spans="1:60" x14ac:dyDescent="0.25">
      <c r="A192" s="519"/>
      <c r="B192" s="562"/>
      <c r="C192" s="525"/>
      <c r="D192" s="554">
        <f>+D190+D191</f>
        <v>0</v>
      </c>
      <c r="E192" s="530">
        <f>+E190+E191</f>
        <v>0</v>
      </c>
      <c r="F192" s="554">
        <f>+F190+F191</f>
        <v>0</v>
      </c>
      <c r="G192" s="366"/>
      <c r="H192" s="366"/>
      <c r="I192" s="366"/>
      <c r="J192" s="366"/>
    </row>
    <row r="193" spans="1:31" x14ac:dyDescent="0.25">
      <c r="A193" s="519"/>
      <c r="B193" s="562"/>
      <c r="C193" s="525"/>
      <c r="D193" s="563"/>
      <c r="E193" s="545"/>
      <c r="F193" s="563"/>
      <c r="G193" s="546"/>
      <c r="H193" s="546"/>
      <c r="I193" s="546"/>
      <c r="J193" s="546"/>
    </row>
    <row r="194" spans="1:31" x14ac:dyDescent="0.25">
      <c r="A194" s="519"/>
      <c r="B194" s="553" t="s">
        <v>577</v>
      </c>
      <c r="C194" s="525"/>
      <c r="D194" s="554">
        <f>'[15]Balance sheet groupings'!D202</f>
        <v>335.36731889400039</v>
      </c>
      <c r="E194" s="530">
        <f>'[15]Balance sheet groupings'!F202</f>
        <v>296.60033398299993</v>
      </c>
      <c r="F194" s="554">
        <v>266.77299774400035</v>
      </c>
      <c r="G194" s="366"/>
      <c r="H194" s="366"/>
      <c r="I194" s="366"/>
      <c r="J194" s="366"/>
      <c r="L194" s="555"/>
    </row>
    <row r="195" spans="1:31" x14ac:dyDescent="0.25">
      <c r="A195" s="519"/>
      <c r="B195" s="553" t="s">
        <v>578</v>
      </c>
      <c r="C195" s="525"/>
      <c r="D195" s="554">
        <f>'[15]Balance sheet groupings'!D221</f>
        <v>0</v>
      </c>
      <c r="E195" s="530">
        <f>'[15]Balance sheet groupings'!F221</f>
        <v>0</v>
      </c>
      <c r="F195" s="554">
        <v>0.22177115499999997</v>
      </c>
      <c r="G195" s="366"/>
      <c r="H195" s="366"/>
      <c r="I195" s="366"/>
      <c r="J195" s="366"/>
    </row>
    <row r="196" spans="1:31" x14ac:dyDescent="0.25">
      <c r="A196" s="519"/>
      <c r="B196" s="553" t="s">
        <v>579</v>
      </c>
      <c r="C196" s="525"/>
      <c r="D196" s="554">
        <f>'[15]Balance sheet groupings'!D223</f>
        <v>0</v>
      </c>
      <c r="E196" s="530">
        <f>'[15]Balance sheet groupings'!F223</f>
        <v>1.4262655</v>
      </c>
      <c r="F196" s="554">
        <v>1.6583991</v>
      </c>
      <c r="G196" s="366"/>
      <c r="H196" s="366"/>
      <c r="I196" s="366"/>
      <c r="J196" s="366"/>
    </row>
    <row r="197" spans="1:31" x14ac:dyDescent="0.25">
      <c r="A197" s="519"/>
      <c r="B197" s="553" t="s">
        <v>580</v>
      </c>
      <c r="C197" s="525"/>
      <c r="D197" s="554">
        <f>'[15]Balance sheet groupings'!D224</f>
        <v>413.56195018599999</v>
      </c>
      <c r="E197" s="530">
        <f>'[15]Balance sheet groupings'!F224</f>
        <v>323.902233663</v>
      </c>
      <c r="F197" s="554">
        <v>163.301880963</v>
      </c>
      <c r="G197" s="366"/>
      <c r="H197" s="366"/>
      <c r="I197" s="366"/>
      <c r="J197" s="366"/>
    </row>
    <row r="198" spans="1:31" hidden="1" x14ac:dyDescent="0.25">
      <c r="A198" s="519"/>
      <c r="B198" s="553" t="s">
        <v>581</v>
      </c>
      <c r="C198" s="525"/>
      <c r="D198" s="554"/>
      <c r="E198" s="530"/>
      <c r="F198" s="554"/>
      <c r="G198" s="366"/>
      <c r="H198" s="366"/>
      <c r="I198" s="366"/>
      <c r="J198" s="366"/>
    </row>
    <row r="199" spans="1:31" ht="15.75" thickBot="1" x14ac:dyDescent="0.3">
      <c r="A199" s="519"/>
      <c r="B199" s="564"/>
      <c r="C199" s="525"/>
      <c r="D199" s="551">
        <f>+SUM(D194:D197)+D184+D192+D188</f>
        <v>748.92926908000038</v>
      </c>
      <c r="E199" s="552">
        <f t="shared" ref="E199:F199" si="24">+SUM(E194:E197)+E184+E192+E188</f>
        <v>621.92883314599999</v>
      </c>
      <c r="F199" s="563">
        <f t="shared" si="24"/>
        <v>431.95504896200032</v>
      </c>
      <c r="G199" s="546"/>
      <c r="H199" s="546"/>
      <c r="I199" s="546"/>
      <c r="J199" s="546"/>
      <c r="K199" s="565"/>
    </row>
    <row r="200" spans="1:31" ht="15.75" thickTop="1" x14ac:dyDescent="0.25">
      <c r="A200" s="519"/>
      <c r="B200" s="564"/>
      <c r="C200" s="525"/>
      <c r="D200" s="566"/>
      <c r="E200" s="567"/>
      <c r="F200" s="563"/>
      <c r="G200" s="546"/>
      <c r="H200" s="546"/>
      <c r="I200" s="546"/>
      <c r="J200" s="546"/>
      <c r="K200" s="565"/>
    </row>
    <row r="201" spans="1:31" x14ac:dyDescent="0.25">
      <c r="A201" s="519">
        <v>5</v>
      </c>
      <c r="B201" s="568" t="s">
        <v>582</v>
      </c>
      <c r="C201" s="525"/>
      <c r="D201" s="554"/>
      <c r="E201" s="530"/>
      <c r="F201" s="554"/>
      <c r="G201" s="366"/>
      <c r="H201" s="366"/>
      <c r="I201" s="366"/>
      <c r="J201" s="366"/>
      <c r="AE201" s="243">
        <f>+A201</f>
        <v>5</v>
      </c>
    </row>
    <row r="202" spans="1:31" x14ac:dyDescent="0.25">
      <c r="A202" s="519"/>
      <c r="B202" s="553" t="s">
        <v>583</v>
      </c>
      <c r="C202" s="525"/>
      <c r="D202" s="569">
        <f>'[15]Balance sheet groupings'!D242+'[15]Balance sheet groupings'!D258+'[15]Balance sheet groupings'!D229-D203</f>
        <v>1384.35228531851</v>
      </c>
      <c r="E202" s="412">
        <f>'[15]Balance sheet groupings'!F242+'[15]Balance sheet groupings'!F258+'[15]Balance sheet groupings'!F229-E203</f>
        <v>947.15810031799992</v>
      </c>
      <c r="F202" s="569">
        <v>470.037504114</v>
      </c>
      <c r="G202" s="569"/>
      <c r="H202" s="569"/>
      <c r="I202" s="569"/>
      <c r="J202" s="366"/>
      <c r="K202" s="570"/>
    </row>
    <row r="203" spans="1:31" x14ac:dyDescent="0.25">
      <c r="A203" s="519"/>
      <c r="B203" s="553" t="s">
        <v>584</v>
      </c>
      <c r="C203" s="525"/>
      <c r="D203" s="569">
        <f>(1995256741.24/10^7)+450.15382107149</f>
        <v>649.67949519548995</v>
      </c>
      <c r="E203" s="412">
        <f>2465279638.42/10^7</f>
        <v>246.52796384200002</v>
      </c>
      <c r="F203" s="569"/>
      <c r="G203" s="569"/>
      <c r="H203" s="569"/>
      <c r="I203" s="569"/>
      <c r="J203" s="366"/>
      <c r="K203" s="570"/>
    </row>
    <row r="204" spans="1:31" x14ac:dyDescent="0.25">
      <c r="A204" s="519"/>
      <c r="B204" s="553" t="s">
        <v>585</v>
      </c>
      <c r="C204" s="525"/>
      <c r="D204" s="569">
        <f>'[15]Balance sheet groupings'!D248</f>
        <v>317.02863434799997</v>
      </c>
      <c r="E204" s="412">
        <f>'[15]Balance sheet groupings'!F248</f>
        <v>318.00257912000001</v>
      </c>
      <c r="F204" s="569">
        <v>281.96677375699994</v>
      </c>
      <c r="G204" s="569"/>
      <c r="H204" s="569"/>
      <c r="I204" s="569"/>
      <c r="J204" s="366"/>
      <c r="K204" s="570"/>
    </row>
    <row r="205" spans="1:31" x14ac:dyDescent="0.25">
      <c r="A205" s="519"/>
      <c r="B205" s="553" t="s">
        <v>586</v>
      </c>
      <c r="C205" s="525"/>
      <c r="D205" s="569">
        <f>'[15]Balance sheet groupings'!D263</f>
        <v>113.080399077</v>
      </c>
      <c r="E205" s="412">
        <f>'[15]Balance sheet groupings'!E263</f>
        <v>64.560518199000001</v>
      </c>
      <c r="F205" s="569">
        <v>71.890221659000005</v>
      </c>
      <c r="G205" s="569"/>
      <c r="H205" s="569"/>
      <c r="I205" s="569"/>
      <c r="J205" s="366"/>
      <c r="K205" s="570"/>
      <c r="L205" s="571"/>
    </row>
    <row r="206" spans="1:31" x14ac:dyDescent="0.25">
      <c r="A206" s="519"/>
      <c r="B206" s="553" t="s">
        <v>587</v>
      </c>
      <c r="C206" s="525"/>
      <c r="D206" s="569">
        <f>'[15]Balance sheet groupings'!D283</f>
        <v>973.10106887300003</v>
      </c>
      <c r="E206" s="412">
        <f>'[15]Balance sheet groupings'!F283</f>
        <v>963.87835612999993</v>
      </c>
      <c r="F206" s="569">
        <v>856.640775813</v>
      </c>
      <c r="G206" s="569"/>
      <c r="H206" s="569"/>
      <c r="I206" s="569"/>
      <c r="J206" s="366"/>
      <c r="K206" s="570"/>
    </row>
    <row r="207" spans="1:31" hidden="1" x14ac:dyDescent="0.25">
      <c r="A207" s="519"/>
      <c r="B207" s="553" t="s">
        <v>588</v>
      </c>
      <c r="C207" s="525"/>
      <c r="D207" s="569">
        <f>'[15]Balance sheet groupings'!D256</f>
        <v>0</v>
      </c>
      <c r="E207" s="412"/>
      <c r="F207" s="569"/>
      <c r="G207" s="569"/>
      <c r="H207" s="569"/>
      <c r="I207" s="569"/>
      <c r="J207" s="366"/>
      <c r="K207" s="570"/>
    </row>
    <row r="208" spans="1:31" ht="17.25" customHeight="1" x14ac:dyDescent="0.25">
      <c r="A208" s="519"/>
      <c r="B208" s="553" t="s">
        <v>589</v>
      </c>
      <c r="C208" s="525"/>
      <c r="D208" s="569">
        <f>'[15]Balance sheet groupings'!D284</f>
        <v>-410.59314440600002</v>
      </c>
      <c r="E208" s="412">
        <f>'[15]Balance sheet groupings'!F284</f>
        <v>-385.94918471199998</v>
      </c>
      <c r="F208" s="569">
        <v>-402.23597693099998</v>
      </c>
      <c r="G208" s="569"/>
      <c r="H208" s="569"/>
      <c r="I208" s="569"/>
      <c r="J208" s="366"/>
      <c r="K208" s="570"/>
    </row>
    <row r="209" spans="1:31" x14ac:dyDescent="0.25">
      <c r="A209" s="519"/>
      <c r="B209" s="553" t="s">
        <v>590</v>
      </c>
      <c r="C209" s="525"/>
      <c r="D209" s="569">
        <f>'[15]Balance sheet groupings'!D285</f>
        <v>-83.069232370999998</v>
      </c>
      <c r="E209" s="412">
        <f>'[15]Balance sheet groupings'!F285</f>
        <v>-39.395743226999997</v>
      </c>
      <c r="F209" s="569">
        <v>-22.538118780000001</v>
      </c>
      <c r="G209" s="569"/>
      <c r="H209" s="569"/>
      <c r="I209" s="569"/>
      <c r="J209" s="366"/>
      <c r="K209" s="570"/>
    </row>
    <row r="210" spans="1:31" ht="21.75" customHeight="1" thickBot="1" x14ac:dyDescent="0.3">
      <c r="A210" s="519"/>
      <c r="B210" s="564" t="s">
        <v>591</v>
      </c>
      <c r="C210" s="525"/>
      <c r="D210" s="572">
        <f>SUM(D202:D209)</f>
        <v>2943.5795060349997</v>
      </c>
      <c r="E210" s="573">
        <f>SUM(E202:E209)</f>
        <v>2114.7825896700001</v>
      </c>
      <c r="F210" s="390">
        <f>SUM(F202:F209)</f>
        <v>1255.7611796319995</v>
      </c>
      <c r="G210" s="390"/>
      <c r="H210" s="390"/>
      <c r="I210" s="390"/>
      <c r="J210" s="546"/>
      <c r="K210" s="570"/>
    </row>
    <row r="211" spans="1:31" ht="21.75" customHeight="1" thickTop="1" x14ac:dyDescent="0.25">
      <c r="A211" s="519"/>
      <c r="B211" s="564"/>
      <c r="C211" s="525"/>
      <c r="D211" s="563"/>
      <c r="E211" s="545"/>
      <c r="F211" s="518"/>
      <c r="G211" s="574"/>
      <c r="H211" s="574"/>
      <c r="I211" s="574"/>
      <c r="J211" s="546"/>
      <c r="K211" s="570"/>
    </row>
    <row r="212" spans="1:31" x14ac:dyDescent="0.25">
      <c r="A212" s="519">
        <v>6</v>
      </c>
      <c r="B212" s="568" t="s">
        <v>592</v>
      </c>
      <c r="C212" s="525"/>
      <c r="D212" s="521"/>
      <c r="E212" s="522"/>
      <c r="F212" s="518"/>
      <c r="G212" s="574"/>
      <c r="H212" s="574"/>
      <c r="I212" s="574"/>
      <c r="J212" s="266"/>
      <c r="N212" s="575"/>
      <c r="AE212" s="243">
        <f>+A212</f>
        <v>6</v>
      </c>
    </row>
    <row r="213" spans="1:31" x14ac:dyDescent="0.25">
      <c r="A213" s="519"/>
      <c r="B213" s="553" t="s">
        <v>593</v>
      </c>
      <c r="C213" s="525"/>
      <c r="D213" s="569">
        <f>'[15]Balance sheet groupings'!D300-D214</f>
        <v>25461.11701010312</v>
      </c>
      <c r="E213" s="412">
        <f>'[15]Balance sheet groupings'!F300-E214</f>
        <v>17339.525244969271</v>
      </c>
      <c r="F213" s="554">
        <v>27231.889731275001</v>
      </c>
      <c r="G213" s="366"/>
      <c r="H213" s="366"/>
      <c r="I213" s="366"/>
      <c r="J213" s="576"/>
      <c r="K213" s="577"/>
    </row>
    <row r="214" spans="1:31" hidden="1" x14ac:dyDescent="0.25">
      <c r="A214" s="519"/>
      <c r="B214" s="553" t="s">
        <v>594</v>
      </c>
      <c r="C214" s="525"/>
      <c r="D214" s="569"/>
      <c r="E214" s="412"/>
      <c r="F214" s="518">
        <v>183.68105705100001</v>
      </c>
      <c r="G214" s="578"/>
      <c r="H214" s="578"/>
      <c r="I214" s="578"/>
      <c r="J214" s="576"/>
    </row>
    <row r="215" spans="1:31" x14ac:dyDescent="0.25">
      <c r="A215" s="519"/>
      <c r="B215" s="553" t="s">
        <v>595</v>
      </c>
      <c r="C215" s="525"/>
      <c r="D215" s="569">
        <f>'[15]Balance sheet groupings'!D301</f>
        <v>-183.68105705100001</v>
      </c>
      <c r="E215" s="412">
        <f>'[15]Balance sheet groupings'!F301</f>
        <v>-183.68105705100001</v>
      </c>
      <c r="F215" s="518">
        <v>-183.68105705100001</v>
      </c>
      <c r="G215" s="578"/>
      <c r="H215" s="578"/>
      <c r="I215" s="578">
        <f>+D217-D215</f>
        <v>27107.732410863122</v>
      </c>
      <c r="J215" s="578">
        <f>+E217-E215</f>
        <v>22904.154945378272</v>
      </c>
    </row>
    <row r="216" spans="1:31" x14ac:dyDescent="0.25">
      <c r="A216" s="519"/>
      <c r="B216" s="553" t="s">
        <v>596</v>
      </c>
      <c r="C216" s="525"/>
      <c r="D216" s="569">
        <f>'[15]Balance sheet groupings'!D304+'[15]Balance sheet groupings'!D355</f>
        <v>1646.6154007600001</v>
      </c>
      <c r="E216" s="412">
        <f>'[15]Balance sheet groupings'!F304+'[15]Balance sheet groupings'!F355</f>
        <v>5564.6297004089993</v>
      </c>
      <c r="F216" s="554">
        <v>1225.3813603120002</v>
      </c>
      <c r="G216" s="366"/>
      <c r="H216" s="366"/>
      <c r="I216" s="366">
        <f>+D177</f>
        <v>4340.3346837788831</v>
      </c>
      <c r="J216" s="366">
        <f>+E177</f>
        <v>7256.1938187397327</v>
      </c>
    </row>
    <row r="217" spans="1:31" ht="15.75" thickBot="1" x14ac:dyDescent="0.3">
      <c r="A217" s="519"/>
      <c r="B217" s="564" t="s">
        <v>591</v>
      </c>
      <c r="C217" s="525"/>
      <c r="D217" s="572">
        <f>SUM(D213:D216)</f>
        <v>26924.051353812123</v>
      </c>
      <c r="E217" s="573">
        <f>SUM(E213:E216)</f>
        <v>22720.473888327273</v>
      </c>
      <c r="F217" s="563">
        <f>SUM(F213:F216)</f>
        <v>28457.271091587001</v>
      </c>
      <c r="G217" s="546"/>
      <c r="H217" s="546"/>
      <c r="I217" s="546">
        <f>+I215+I216</f>
        <v>31448.067094642007</v>
      </c>
      <c r="J217" s="546">
        <f>+J215+J216</f>
        <v>30160.348764118004</v>
      </c>
      <c r="K217" s="579"/>
    </row>
    <row r="218" spans="1:31" ht="15.75" thickTop="1" x14ac:dyDescent="0.25">
      <c r="A218" s="519"/>
      <c r="B218" s="580" t="s">
        <v>597</v>
      </c>
      <c r="C218" s="525"/>
      <c r="D218" s="563"/>
      <c r="E218" s="545"/>
      <c r="F218" s="563"/>
      <c r="G218" s="546"/>
      <c r="H218" s="546"/>
      <c r="I218" s="546"/>
      <c r="J218" s="546"/>
      <c r="K218" s="579"/>
    </row>
    <row r="219" spans="1:31" x14ac:dyDescent="0.25">
      <c r="A219" s="581"/>
      <c r="B219" s="582"/>
      <c r="C219" s="583"/>
      <c r="D219" s="584"/>
      <c r="E219" s="585"/>
      <c r="F219" s="563"/>
      <c r="G219" s="546"/>
      <c r="H219" s="546"/>
      <c r="I219" s="546"/>
      <c r="J219" s="546"/>
      <c r="K219" s="579"/>
    </row>
    <row r="220" spans="1:31" x14ac:dyDescent="0.25">
      <c r="A220" s="513">
        <v>7</v>
      </c>
      <c r="B220" s="586" t="s">
        <v>598</v>
      </c>
      <c r="C220" s="587"/>
      <c r="D220" s="588"/>
      <c r="E220" s="589"/>
      <c r="F220" s="563"/>
      <c r="G220" s="546"/>
      <c r="H220" s="546"/>
      <c r="I220" s="546"/>
      <c r="J220" s="366"/>
      <c r="AE220" s="243">
        <f>+A220</f>
        <v>7</v>
      </c>
    </row>
    <row r="221" spans="1:31" x14ac:dyDescent="0.25">
      <c r="A221" s="519"/>
      <c r="B221" s="553" t="s">
        <v>599</v>
      </c>
      <c r="C221" s="525"/>
      <c r="D221" s="554"/>
      <c r="E221" s="530"/>
      <c r="F221" s="554"/>
      <c r="G221" s="366"/>
      <c r="H221" s="366"/>
      <c r="I221" s="366"/>
      <c r="J221" s="366"/>
    </row>
    <row r="222" spans="1:31" x14ac:dyDescent="0.25">
      <c r="A222" s="519"/>
      <c r="B222" s="590" t="s">
        <v>600</v>
      </c>
      <c r="C222" s="591"/>
      <c r="D222" s="569">
        <f>'[15]Balance sheet groupings'!D309</f>
        <v>6.8380321949999985</v>
      </c>
      <c r="E222" s="412">
        <f>'[15]Balance sheet groupings'!F309</f>
        <v>263.66342570199998</v>
      </c>
      <c r="F222" s="412">
        <v>11.769918049000003</v>
      </c>
      <c r="G222" s="569"/>
      <c r="H222" s="569"/>
      <c r="I222" s="569"/>
      <c r="J222" s="366"/>
    </row>
    <row r="223" spans="1:31" hidden="1" x14ac:dyDescent="0.25">
      <c r="A223" s="519"/>
      <c r="B223" s="553" t="s">
        <v>601</v>
      </c>
      <c r="C223" s="591"/>
      <c r="D223" s="569">
        <f>'[15]Balance sheet groupings'!D314</f>
        <v>0</v>
      </c>
      <c r="E223" s="412">
        <f>'[15]Balance sheet groupings'!F314</f>
        <v>0</v>
      </c>
      <c r="F223" s="412">
        <v>0</v>
      </c>
      <c r="G223" s="569"/>
      <c r="H223" s="569"/>
      <c r="I223" s="569"/>
      <c r="J223" s="366"/>
    </row>
    <row r="224" spans="1:31" x14ac:dyDescent="0.25">
      <c r="A224" s="519"/>
      <c r="B224" s="553" t="s">
        <v>602</v>
      </c>
      <c r="C224" s="525"/>
      <c r="D224" s="569">
        <f>'[15]Balance sheet groupings'!D315</f>
        <v>1.139657E-2</v>
      </c>
      <c r="E224" s="412">
        <f>'[15]Balance sheet groupings'!F315</f>
        <v>1.4654745E-2</v>
      </c>
      <c r="F224" s="412">
        <v>1.7346445000000002E-2</v>
      </c>
      <c r="G224" s="569"/>
      <c r="H224" s="569"/>
      <c r="I224" s="569"/>
      <c r="J224" s="366"/>
    </row>
    <row r="225" spans="1:31" ht="15.75" thickBot="1" x14ac:dyDescent="0.3">
      <c r="A225" s="519"/>
      <c r="B225" s="564" t="s">
        <v>591</v>
      </c>
      <c r="C225" s="525"/>
      <c r="D225" s="572">
        <f>+SUM(D222:D224)</f>
        <v>6.8494287649999981</v>
      </c>
      <c r="E225" s="573">
        <f>+SUM(E222:E224)</f>
        <v>263.67808044699996</v>
      </c>
      <c r="F225" s="390">
        <f>+SUM(F222:F224)</f>
        <v>11.787264494000002</v>
      </c>
      <c r="G225" s="390"/>
      <c r="H225" s="390"/>
      <c r="I225" s="390"/>
      <c r="J225" s="546"/>
    </row>
    <row r="226" spans="1:31" ht="15.75" thickTop="1" x14ac:dyDescent="0.25">
      <c r="A226" s="519"/>
      <c r="B226" s="564"/>
      <c r="C226" s="525"/>
      <c r="D226" s="563"/>
      <c r="E226" s="545"/>
      <c r="F226" s="563"/>
      <c r="G226" s="546"/>
      <c r="H226" s="546"/>
      <c r="I226" s="546"/>
      <c r="J226" s="546"/>
    </row>
    <row r="227" spans="1:31" x14ac:dyDescent="0.25">
      <c r="A227" s="519">
        <v>8</v>
      </c>
      <c r="B227" s="568" t="s">
        <v>603</v>
      </c>
      <c r="C227" s="525"/>
      <c r="D227" s="554"/>
      <c r="E227" s="530"/>
      <c r="F227" s="554"/>
      <c r="G227" s="366"/>
      <c r="H227" s="366"/>
      <c r="I227" s="366"/>
      <c r="J227" s="366"/>
      <c r="AE227" s="243">
        <f>+A227</f>
        <v>8</v>
      </c>
    </row>
    <row r="228" spans="1:31" x14ac:dyDescent="0.25">
      <c r="A228" s="519"/>
      <c r="B228" s="553" t="s">
        <v>314</v>
      </c>
      <c r="C228" s="525"/>
      <c r="D228" s="554"/>
      <c r="E228" s="530"/>
      <c r="F228" s="554"/>
      <c r="G228" s="366"/>
      <c r="H228" s="366"/>
      <c r="I228" s="366"/>
      <c r="J228" s="366"/>
    </row>
    <row r="229" spans="1:31" ht="17.25" customHeight="1" x14ac:dyDescent="0.25">
      <c r="A229" s="519"/>
      <c r="B229" s="592" t="s">
        <v>604</v>
      </c>
      <c r="C229" s="525"/>
      <c r="D229" s="569">
        <f>'[15]Balance sheet groupings'!D336</f>
        <v>1.8876684990000001</v>
      </c>
      <c r="E229" s="412">
        <f>'[15]Balance sheet groupings'!F336</f>
        <v>1.781401367</v>
      </c>
      <c r="F229" s="569">
        <v>5.3623333400000002</v>
      </c>
      <c r="G229" s="569"/>
      <c r="H229" s="569"/>
      <c r="I229" s="569"/>
      <c r="J229" s="366"/>
    </row>
    <row r="230" spans="1:31" ht="15" hidden="1" customHeight="1" x14ac:dyDescent="0.25">
      <c r="A230" s="519"/>
      <c r="B230" s="592" t="s">
        <v>605</v>
      </c>
      <c r="C230" s="525"/>
      <c r="D230" s="529">
        <f>+'[15]Balance sheet groupings'!D337</f>
        <v>0</v>
      </c>
      <c r="E230" s="530">
        <f>+'[15]Balance sheet groupings'!F337</f>
        <v>0</v>
      </c>
      <c r="F230" s="529">
        <v>0</v>
      </c>
      <c r="G230" s="529"/>
      <c r="H230" s="529"/>
      <c r="I230" s="529"/>
      <c r="J230" s="366"/>
      <c r="K230" s="593"/>
    </row>
    <row r="231" spans="1:31" ht="15" hidden="1" customHeight="1" x14ac:dyDescent="0.25">
      <c r="A231" s="519"/>
      <c r="B231" s="592" t="s">
        <v>606</v>
      </c>
      <c r="C231" s="525"/>
      <c r="D231" s="529">
        <f>'[15]Balance sheet groupings'!D339</f>
        <v>0</v>
      </c>
      <c r="E231" s="530">
        <v>0</v>
      </c>
      <c r="F231" s="529">
        <v>0</v>
      </c>
      <c r="G231" s="529"/>
      <c r="H231" s="529"/>
      <c r="I231" s="529"/>
      <c r="J231" s="366"/>
      <c r="K231" s="593"/>
    </row>
    <row r="232" spans="1:31" ht="15.75" thickBot="1" x14ac:dyDescent="0.3">
      <c r="A232" s="519"/>
      <c r="B232" s="564"/>
      <c r="C232" s="525"/>
      <c r="D232" s="551">
        <f>+SUM(D228:D231)</f>
        <v>1.8876684990000001</v>
      </c>
      <c r="E232" s="552">
        <f>+SUM(E228:E231)</f>
        <v>1.781401367</v>
      </c>
      <c r="F232" s="563">
        <f>+SUM(F228:F231)</f>
        <v>5.3623333400000002</v>
      </c>
      <c r="G232" s="546"/>
      <c r="H232" s="546"/>
      <c r="I232" s="546"/>
      <c r="J232" s="546"/>
    </row>
    <row r="233" spans="1:31" ht="15.75" thickTop="1" x14ac:dyDescent="0.25">
      <c r="A233" s="519"/>
      <c r="B233" s="564"/>
      <c r="C233" s="525"/>
      <c r="D233" s="563"/>
      <c r="E233" s="545"/>
      <c r="F233" s="563"/>
      <c r="G233" s="546"/>
      <c r="H233" s="546"/>
      <c r="I233" s="546"/>
      <c r="J233" s="546"/>
    </row>
    <row r="234" spans="1:31" x14ac:dyDescent="0.25">
      <c r="A234" s="519">
        <v>9</v>
      </c>
      <c r="B234" s="568" t="s">
        <v>607</v>
      </c>
      <c r="C234" s="525"/>
      <c r="D234" s="554"/>
      <c r="E234" s="530"/>
      <c r="F234" s="554"/>
      <c r="G234" s="366"/>
      <c r="H234" s="366"/>
      <c r="I234" s="366"/>
      <c r="J234" s="366"/>
      <c r="AE234" s="243">
        <f>+A234</f>
        <v>9</v>
      </c>
    </row>
    <row r="235" spans="1:31" x14ac:dyDescent="0.25">
      <c r="A235" s="519"/>
      <c r="B235" s="580" t="s">
        <v>608</v>
      </c>
      <c r="C235" s="525"/>
      <c r="D235" s="554"/>
      <c r="E235" s="530"/>
      <c r="F235" s="554"/>
      <c r="G235" s="366"/>
      <c r="H235" s="366"/>
      <c r="I235" s="366"/>
      <c r="J235" s="366"/>
    </row>
    <row r="236" spans="1:31" x14ac:dyDescent="0.25">
      <c r="A236" s="519"/>
      <c r="B236" s="553" t="s">
        <v>609</v>
      </c>
      <c r="C236" s="525"/>
      <c r="D236" s="569">
        <f>'[15]Balance sheet groupings'!D353</f>
        <v>5.2565079959999998</v>
      </c>
      <c r="E236" s="412">
        <f>'[15]Balance sheet groupings'!F353</f>
        <v>3.1424890649999999</v>
      </c>
      <c r="F236" s="569">
        <v>3.0424724009999999</v>
      </c>
      <c r="G236" s="569"/>
      <c r="H236" s="569"/>
      <c r="I236" s="569"/>
      <c r="J236" s="366"/>
    </row>
    <row r="237" spans="1:31" x14ac:dyDescent="0.25">
      <c r="A237" s="519"/>
      <c r="B237" s="553" t="s">
        <v>610</v>
      </c>
      <c r="C237" s="525"/>
      <c r="D237" s="569">
        <f>+'[15]Balance sheet groupings'!D360</f>
        <v>0.88386330000000002</v>
      </c>
      <c r="E237" s="412">
        <f>+'[15]Balance sheet groupings'!F360</f>
        <v>2.940679668</v>
      </c>
      <c r="F237" s="569">
        <v>2.0145718000000001</v>
      </c>
      <c r="G237" s="569"/>
      <c r="H237" s="569"/>
      <c r="I237" s="569"/>
      <c r="J237" s="366"/>
    </row>
    <row r="238" spans="1:31" x14ac:dyDescent="0.25">
      <c r="A238" s="519"/>
      <c r="B238" s="553" t="s">
        <v>611</v>
      </c>
      <c r="C238" s="525"/>
      <c r="D238" s="569">
        <f>'[15]Balance sheet groupings'!D362</f>
        <v>237.73336224599998</v>
      </c>
      <c r="E238" s="412">
        <f>'[15]Balance sheet groupings'!F362</f>
        <v>111.79517301700001</v>
      </c>
      <c r="F238" s="569">
        <v>111.33233335199999</v>
      </c>
      <c r="G238" s="569"/>
      <c r="H238" s="569"/>
      <c r="I238" s="569"/>
      <c r="J238" s="366"/>
    </row>
    <row r="239" spans="1:31" x14ac:dyDescent="0.25">
      <c r="A239" s="519"/>
      <c r="B239" s="553" t="s">
        <v>612</v>
      </c>
      <c r="C239" s="525"/>
      <c r="D239" s="569">
        <f>+'[15]Balance sheet groupings'!D368</f>
        <v>214.34562678399999</v>
      </c>
      <c r="E239" s="412">
        <f>+'[15]Balance sheet groupings'!F368</f>
        <v>151.86845547300001</v>
      </c>
      <c r="F239" s="569">
        <v>15.886483</v>
      </c>
      <c r="G239" s="569"/>
      <c r="H239" s="569"/>
      <c r="I239" s="569"/>
      <c r="J239" s="366"/>
    </row>
    <row r="240" spans="1:31" x14ac:dyDescent="0.25">
      <c r="A240" s="519"/>
      <c r="B240" s="553" t="s">
        <v>613</v>
      </c>
      <c r="C240" s="525"/>
      <c r="D240" s="569">
        <f>'[15]Balance sheet groupings'!D369</f>
        <v>9.9999999999999995E-8</v>
      </c>
      <c r="E240" s="412">
        <f>+'[15]Balance sheet groupings'!F369</f>
        <v>1.7416499999999999</v>
      </c>
      <c r="F240" s="569">
        <v>1.9577500000000001</v>
      </c>
      <c r="G240" s="569"/>
      <c r="H240" s="569"/>
      <c r="I240" s="569"/>
      <c r="J240" s="366"/>
    </row>
    <row r="241" spans="1:60" ht="15" customHeight="1" x14ac:dyDescent="0.25">
      <c r="A241" s="519"/>
      <c r="B241" s="594" t="s">
        <v>614</v>
      </c>
      <c r="C241" s="525"/>
      <c r="D241" s="569">
        <f>+'[15]Balance sheet groupings'!D376</f>
        <v>56.918956399999999</v>
      </c>
      <c r="E241" s="412">
        <f>+'[15]Balance sheet groupings'!F376</f>
        <v>27.308217500000001</v>
      </c>
      <c r="F241" s="569">
        <v>162.09706272299999</v>
      </c>
      <c r="G241" s="569"/>
      <c r="H241" s="569"/>
      <c r="I241" s="569"/>
      <c r="J241" s="366"/>
      <c r="K241" s="593"/>
    </row>
    <row r="242" spans="1:60" ht="15.75" thickBot="1" x14ac:dyDescent="0.3">
      <c r="A242" s="519"/>
      <c r="B242" s="534"/>
      <c r="C242" s="525"/>
      <c r="D242" s="572">
        <f>SUM(D236:D241)</f>
        <v>515.13831682600005</v>
      </c>
      <c r="E242" s="573">
        <f>SUM(E236:E241)</f>
        <v>298.79666472300005</v>
      </c>
      <c r="F242" s="390">
        <f>SUM(F236:F241)</f>
        <v>296.33067327599997</v>
      </c>
      <c r="G242" s="390"/>
      <c r="H242" s="390"/>
      <c r="I242" s="390"/>
      <c r="J242" s="546"/>
      <c r="K242" s="593"/>
      <c r="L242" s="595"/>
    </row>
    <row r="243" spans="1:60" ht="15.75" thickTop="1" x14ac:dyDescent="0.25">
      <c r="A243" s="519"/>
      <c r="B243" s="534"/>
      <c r="C243" s="525"/>
      <c r="D243" s="563"/>
      <c r="E243" s="545"/>
      <c r="F243" s="563"/>
      <c r="G243" s="546"/>
      <c r="H243" s="546"/>
      <c r="I243" s="546"/>
      <c r="J243" s="546"/>
      <c r="K243" s="593"/>
      <c r="L243" s="595"/>
    </row>
    <row r="244" spans="1:60" x14ac:dyDescent="0.25">
      <c r="A244" s="519">
        <v>10</v>
      </c>
      <c r="B244" s="568" t="s">
        <v>615</v>
      </c>
      <c r="C244" s="525"/>
      <c r="D244" s="554"/>
      <c r="E244" s="530"/>
      <c r="F244" s="554"/>
      <c r="G244" s="366"/>
      <c r="H244" s="366"/>
      <c r="I244" s="366"/>
      <c r="J244" s="366"/>
      <c r="L244" s="596"/>
      <c r="M244" s="597"/>
      <c r="AE244" s="243">
        <f>+A244</f>
        <v>10</v>
      </c>
    </row>
    <row r="245" spans="1:60" x14ac:dyDescent="0.25">
      <c r="A245" s="519"/>
      <c r="B245" s="559" t="s">
        <v>616</v>
      </c>
      <c r="C245" s="525"/>
      <c r="D245" s="569">
        <f>'[15]Balance sheet groupings'!D380</f>
        <v>37.949311001999995</v>
      </c>
      <c r="E245" s="412">
        <f>'[15]Balance sheet groupings'!F380</f>
        <v>35.312575172000003</v>
      </c>
      <c r="F245" s="569">
        <v>26.947556613</v>
      </c>
      <c r="G245" s="569"/>
      <c r="H245" s="569"/>
      <c r="I245" s="569"/>
      <c r="J245" s="366"/>
      <c r="K245" s="593"/>
      <c r="L245" s="596"/>
      <c r="M245" s="598"/>
      <c r="P245" s="599"/>
      <c r="S245" s="512"/>
    </row>
    <row r="246" spans="1:60" s="242" customFormat="1" x14ac:dyDescent="0.25">
      <c r="A246" s="558"/>
      <c r="B246" s="553" t="s">
        <v>617</v>
      </c>
      <c r="C246" s="560"/>
      <c r="D246" s="569">
        <f>'[15]Balance sheet groupings'!D382</f>
        <v>26.153931013999998</v>
      </c>
      <c r="E246" s="412">
        <f>'[15]Balance sheet groupings'!F382</f>
        <v>27.608270213999997</v>
      </c>
      <c r="F246" s="569">
        <v>29.005027813999998</v>
      </c>
      <c r="G246" s="569"/>
      <c r="H246" s="569"/>
      <c r="I246" s="569"/>
      <c r="J246" s="366"/>
      <c r="K246" s="250"/>
      <c r="L246" s="241"/>
      <c r="M246" s="241"/>
      <c r="AE246" s="243"/>
      <c r="AF246" s="243"/>
      <c r="AG246" s="243"/>
      <c r="AH246" s="243"/>
      <c r="AI246" s="243"/>
      <c r="AJ246" s="243"/>
      <c r="AK246" s="243"/>
      <c r="AL246" s="243"/>
      <c r="AM246" s="243"/>
      <c r="AN246" s="243"/>
      <c r="AO246" s="243"/>
      <c r="AP246" s="243"/>
      <c r="AQ246" s="243"/>
      <c r="AR246" s="243"/>
      <c r="AS246" s="243"/>
      <c r="AT246" s="243"/>
      <c r="AU246" s="243"/>
      <c r="AV246" s="243"/>
      <c r="AW246" s="243"/>
      <c r="AX246" s="243"/>
      <c r="AY246" s="243"/>
      <c r="AZ246" s="243"/>
      <c r="BA246" s="243"/>
      <c r="BB246" s="243"/>
      <c r="BC246" s="243"/>
      <c r="BD246" s="243"/>
      <c r="BE246" s="243"/>
      <c r="BF246" s="243"/>
      <c r="BG246" s="243"/>
      <c r="BH246" s="243"/>
    </row>
    <row r="247" spans="1:60" x14ac:dyDescent="0.25">
      <c r="A247" s="519"/>
      <c r="B247" s="592" t="s">
        <v>618</v>
      </c>
      <c r="C247" s="525"/>
      <c r="D247" s="569">
        <f>+'[15]Balance sheet groupings'!D384</f>
        <v>294.62884841399995</v>
      </c>
      <c r="E247" s="412">
        <f>+'[15]Balance sheet groupings'!F384</f>
        <v>408.85345701</v>
      </c>
      <c r="F247" s="569">
        <v>336.00115118999997</v>
      </c>
      <c r="G247" s="569"/>
      <c r="H247" s="569"/>
      <c r="I247" s="569"/>
      <c r="J247" s="366"/>
      <c r="L247" s="596"/>
      <c r="M247" s="600"/>
      <c r="N247" s="336"/>
      <c r="P247" s="599"/>
      <c r="S247" s="512"/>
    </row>
    <row r="248" spans="1:60" x14ac:dyDescent="0.25">
      <c r="A248" s="519"/>
      <c r="B248" s="559" t="s">
        <v>575</v>
      </c>
      <c r="C248" s="525"/>
      <c r="D248" s="569">
        <f>+'[15]Balance sheet groupings'!D388</f>
        <v>474.06089685799998</v>
      </c>
      <c r="E248" s="412">
        <f>+'[15]Balance sheet groupings'!F388</f>
        <v>461.36615917400002</v>
      </c>
      <c r="F248" s="569">
        <v>532.74205547299994</v>
      </c>
      <c r="G248" s="569"/>
      <c r="H248" s="569"/>
      <c r="I248" s="569"/>
      <c r="J248" s="366"/>
      <c r="L248" s="596"/>
      <c r="M248" s="601"/>
      <c r="P248" s="599"/>
      <c r="S248" s="512"/>
    </row>
    <row r="249" spans="1:60" hidden="1" x14ac:dyDescent="0.25">
      <c r="A249" s="519"/>
      <c r="B249" s="553" t="s">
        <v>572</v>
      </c>
      <c r="C249" s="525"/>
      <c r="D249" s="569">
        <f>'[15]Balance sheet groupings'!D389</f>
        <v>0</v>
      </c>
      <c r="E249" s="412">
        <f>'[15]Balance sheet groupings'!F389</f>
        <v>0</v>
      </c>
      <c r="F249" s="569">
        <v>0</v>
      </c>
      <c r="G249" s="569"/>
      <c r="H249" s="569"/>
      <c r="I249" s="569"/>
      <c r="J249" s="366"/>
      <c r="L249" s="596"/>
      <c r="M249" s="601"/>
      <c r="P249" s="599"/>
      <c r="S249" s="512"/>
    </row>
    <row r="250" spans="1:60" ht="15.95" customHeight="1" thickBot="1" x14ac:dyDescent="0.3">
      <c r="A250" s="519"/>
      <c r="B250" s="564" t="s">
        <v>591</v>
      </c>
      <c r="C250" s="525"/>
      <c r="D250" s="572">
        <f>+SUM(D245:D249)</f>
        <v>832.79298728799995</v>
      </c>
      <c r="E250" s="573">
        <f>+SUM(E245:E249)</f>
        <v>933.14046157000007</v>
      </c>
      <c r="F250" s="390">
        <f>+SUM(F245:F249)</f>
        <v>924.69579108999983</v>
      </c>
      <c r="G250" s="390"/>
      <c r="H250" s="390"/>
      <c r="I250" s="390"/>
      <c r="J250" s="546"/>
      <c r="L250" s="596"/>
      <c r="M250" s="601"/>
      <c r="P250" s="599"/>
      <c r="S250" s="512"/>
    </row>
    <row r="251" spans="1:60" ht="15.95" customHeight="1" thickTop="1" x14ac:dyDescent="0.25">
      <c r="A251" s="581"/>
      <c r="B251" s="582"/>
      <c r="C251" s="583"/>
      <c r="D251" s="584"/>
      <c r="E251" s="585"/>
      <c r="F251" s="563"/>
      <c r="G251" s="546"/>
      <c r="H251" s="546"/>
      <c r="I251" s="546"/>
      <c r="J251" s="546"/>
      <c r="L251" s="596"/>
      <c r="M251" s="601"/>
      <c r="P251" s="599"/>
      <c r="S251" s="512"/>
    </row>
    <row r="252" spans="1:60" ht="18" customHeight="1" x14ac:dyDescent="0.25">
      <c r="A252" s="513">
        <v>12</v>
      </c>
      <c r="B252" s="586" t="s">
        <v>619</v>
      </c>
      <c r="C252" s="602"/>
      <c r="D252" s="603"/>
      <c r="E252" s="604"/>
      <c r="F252" s="255"/>
      <c r="G252" s="256"/>
      <c r="H252" s="256"/>
      <c r="I252" s="256"/>
      <c r="J252" s="257"/>
      <c r="L252" s="596"/>
      <c r="M252" s="597"/>
      <c r="AE252" s="243">
        <f>+A252</f>
        <v>12</v>
      </c>
    </row>
    <row r="253" spans="1:60" ht="18" customHeight="1" x14ac:dyDescent="0.25">
      <c r="A253" s="519"/>
      <c r="B253" s="605" t="s">
        <v>620</v>
      </c>
      <c r="C253" s="525"/>
      <c r="D253" s="521"/>
      <c r="E253" s="522"/>
      <c r="F253" s="518"/>
      <c r="G253" s="574"/>
      <c r="H253" s="574"/>
      <c r="I253" s="574"/>
      <c r="J253" s="266"/>
      <c r="L253" s="596"/>
      <c r="M253" s="597"/>
    </row>
    <row r="254" spans="1:60" x14ac:dyDescent="0.25">
      <c r="A254" s="519"/>
      <c r="B254" s="564" t="s">
        <v>621</v>
      </c>
      <c r="C254" s="525"/>
      <c r="D254" s="569">
        <f>'[15]Balance sheet groupings'!D402+'[15]Balance sheet groupings'!D403</f>
        <v>-10200.837541572</v>
      </c>
      <c r="E254" s="412">
        <f>'[15]Balance sheet groupings'!F402+'[15]Balance sheet groupings'!F403</f>
        <v>-8223.0677860540018</v>
      </c>
      <c r="F254" s="569">
        <v>-6540.1836134239993</v>
      </c>
      <c r="G254" s="569"/>
      <c r="H254" s="569"/>
      <c r="I254" s="569"/>
      <c r="J254" s="606"/>
      <c r="K254" s="241"/>
    </row>
    <row r="255" spans="1:60" x14ac:dyDescent="0.25">
      <c r="A255" s="519"/>
      <c r="B255" s="355" t="s">
        <v>622</v>
      </c>
      <c r="C255" s="525"/>
      <c r="D255" s="569">
        <f>+D109</f>
        <v>45.017248804008943</v>
      </c>
      <c r="E255" s="412">
        <f>+E109</f>
        <v>-1977.7718131169186</v>
      </c>
      <c r="F255" s="569">
        <v>-1682.8841725980021</v>
      </c>
      <c r="G255" s="569"/>
      <c r="H255" s="569"/>
      <c r="I255" s="569"/>
      <c r="J255" s="606"/>
      <c r="K255" s="241"/>
    </row>
    <row r="256" spans="1:60" hidden="1" x14ac:dyDescent="0.25">
      <c r="A256" s="519"/>
      <c r="B256" s="564" t="s">
        <v>623</v>
      </c>
      <c r="C256" s="525"/>
      <c r="D256" s="529"/>
      <c r="E256" s="530"/>
      <c r="F256" s="529"/>
      <c r="G256" s="529"/>
      <c r="H256" s="529"/>
      <c r="I256" s="529"/>
      <c r="J256" s="366"/>
      <c r="K256" s="241"/>
    </row>
    <row r="257" spans="1:31" hidden="1" x14ac:dyDescent="0.25">
      <c r="A257" s="519"/>
      <c r="B257" s="564" t="s">
        <v>624</v>
      </c>
      <c r="C257" s="525"/>
      <c r="D257" s="529"/>
      <c r="E257" s="530"/>
      <c r="F257" s="529"/>
      <c r="G257" s="529"/>
      <c r="H257" s="529"/>
      <c r="I257" s="529"/>
      <c r="J257" s="366"/>
      <c r="K257" s="241"/>
    </row>
    <row r="258" spans="1:31" ht="15.75" thickBot="1" x14ac:dyDescent="0.3">
      <c r="A258" s="519"/>
      <c r="B258" s="534"/>
      <c r="C258" s="525"/>
      <c r="D258" s="572">
        <f>SUM(D254:D255)</f>
        <v>-10155.82029276799</v>
      </c>
      <c r="E258" s="573">
        <f>SUM(E254:E255)</f>
        <v>-10200.83959917092</v>
      </c>
      <c r="F258" s="390">
        <f>SUM(F254:F255)</f>
        <v>-8223.0677860220021</v>
      </c>
      <c r="G258" s="390">
        <f>E258-D254</f>
        <v>-2.0575989201461198E-3</v>
      </c>
      <c r="H258" s="390"/>
      <c r="I258" s="390"/>
      <c r="J258" s="607"/>
      <c r="K258" s="296"/>
      <c r="L258" s="445"/>
      <c r="M258" s="608"/>
    </row>
    <row r="259" spans="1:31" ht="15.75" thickTop="1" x14ac:dyDescent="0.25">
      <c r="A259" s="519"/>
      <c r="B259" s="568" t="s">
        <v>625</v>
      </c>
      <c r="C259" s="525"/>
      <c r="D259" s="554"/>
      <c r="E259" s="530"/>
      <c r="F259" s="554"/>
      <c r="G259" s="366"/>
      <c r="H259" s="366"/>
      <c r="I259" s="366"/>
      <c r="J259" s="366"/>
      <c r="K259" s="241"/>
    </row>
    <row r="260" spans="1:31" x14ac:dyDescent="0.25">
      <c r="A260" s="519"/>
      <c r="B260" s="564" t="s">
        <v>626</v>
      </c>
      <c r="C260" s="525"/>
      <c r="D260" s="569">
        <f>'[15]Statement of changes in equity'!B33</f>
        <v>188.7891119040174</v>
      </c>
      <c r="E260" s="412">
        <v>91.14101530401723</v>
      </c>
      <c r="F260" s="569">
        <v>468.05001187801292</v>
      </c>
      <c r="G260" s="569"/>
      <c r="H260" s="569"/>
      <c r="I260" s="569"/>
      <c r="J260" s="366"/>
      <c r="K260" s="609"/>
    </row>
    <row r="261" spans="1:31" x14ac:dyDescent="0.25">
      <c r="A261" s="519"/>
      <c r="B261" s="564"/>
      <c r="C261" s="525"/>
      <c r="D261" s="554"/>
      <c r="E261" s="530"/>
      <c r="F261" s="554"/>
      <c r="G261" s="366"/>
      <c r="H261" s="366"/>
      <c r="I261" s="366"/>
      <c r="J261" s="366"/>
    </row>
    <row r="262" spans="1:31" hidden="1" x14ac:dyDescent="0.25">
      <c r="A262" s="519"/>
      <c r="B262" s="564" t="s">
        <v>627</v>
      </c>
      <c r="C262" s="525"/>
      <c r="D262" s="554"/>
      <c r="E262" s="530"/>
      <c r="F262" s="554"/>
      <c r="G262" s="366"/>
      <c r="H262" s="366"/>
      <c r="I262" s="366"/>
      <c r="J262" s="366"/>
    </row>
    <row r="263" spans="1:31" hidden="1" x14ac:dyDescent="0.25">
      <c r="A263" s="519"/>
      <c r="B263" s="564" t="s">
        <v>628</v>
      </c>
      <c r="C263" s="525"/>
      <c r="D263" s="554"/>
      <c r="E263" s="530"/>
      <c r="F263" s="554"/>
      <c r="G263" s="366"/>
      <c r="H263" s="366"/>
      <c r="I263" s="366"/>
      <c r="J263" s="366"/>
    </row>
    <row r="264" spans="1:31" ht="15.75" thickBot="1" x14ac:dyDescent="0.3">
      <c r="A264" s="519"/>
      <c r="B264" s="605" t="s">
        <v>567</v>
      </c>
      <c r="C264" s="525"/>
      <c r="D264" s="572">
        <f>+D258+D260+D261</f>
        <v>-9967.0311808639726</v>
      </c>
      <c r="E264" s="573">
        <f>+E258+E260+E261</f>
        <v>-10109.698583866902</v>
      </c>
      <c r="F264" s="390">
        <f>+F258+F260+F261</f>
        <v>-7755.0177741439893</v>
      </c>
      <c r="G264" s="390"/>
      <c r="H264" s="390"/>
      <c r="I264" s="390"/>
      <c r="J264" s="546"/>
    </row>
    <row r="265" spans="1:31" ht="15.75" thickTop="1" x14ac:dyDescent="0.25">
      <c r="A265" s="519"/>
      <c r="B265" s="564"/>
      <c r="C265" s="525"/>
      <c r="D265" s="554"/>
      <c r="E265" s="610"/>
      <c r="F265" s="554"/>
      <c r="G265" s="366"/>
      <c r="H265" s="366"/>
      <c r="I265" s="366"/>
      <c r="J265" s="366"/>
    </row>
    <row r="266" spans="1:31" x14ac:dyDescent="0.25">
      <c r="A266" s="519">
        <v>13</v>
      </c>
      <c r="B266" s="549" t="s">
        <v>629</v>
      </c>
      <c r="C266" s="525"/>
      <c r="D266" s="554"/>
      <c r="E266" s="530"/>
      <c r="F266" s="554"/>
      <c r="G266" s="366"/>
      <c r="H266" s="366"/>
      <c r="I266" s="366"/>
      <c r="J266" s="366"/>
      <c r="AE266" s="243">
        <f>+A266</f>
        <v>13</v>
      </c>
    </row>
    <row r="267" spans="1:31" x14ac:dyDescent="0.25">
      <c r="A267" s="519"/>
      <c r="B267" s="611" t="s">
        <v>630</v>
      </c>
      <c r="C267" s="525"/>
      <c r="D267" s="554"/>
      <c r="E267" s="530"/>
      <c r="F267" s="554"/>
      <c r="G267" s="366"/>
      <c r="H267" s="366"/>
      <c r="I267" s="366"/>
      <c r="J267" s="366"/>
    </row>
    <row r="268" spans="1:31" x14ac:dyDescent="0.25">
      <c r="A268" s="519"/>
      <c r="B268" s="612" t="s">
        <v>631</v>
      </c>
      <c r="C268" s="525"/>
      <c r="D268" s="554"/>
      <c r="E268" s="530"/>
      <c r="F268" s="554"/>
      <c r="G268" s="366"/>
      <c r="H268" s="366"/>
      <c r="I268" s="366"/>
      <c r="J268" s="366"/>
    </row>
    <row r="269" spans="1:31" ht="15" customHeight="1" x14ac:dyDescent="0.25">
      <c r="A269" s="519"/>
      <c r="B269" s="613" t="s">
        <v>632</v>
      </c>
      <c r="C269" s="525"/>
      <c r="D269" s="569"/>
      <c r="E269" s="412"/>
      <c r="F269" s="569">
        <v>20307.063223320834</v>
      </c>
      <c r="G269" s="569"/>
      <c r="H269" s="569"/>
      <c r="I269" s="569"/>
      <c r="J269" s="366"/>
    </row>
    <row r="270" spans="1:31" ht="15" customHeight="1" x14ac:dyDescent="0.25">
      <c r="A270" s="519"/>
      <c r="B270" s="613" t="s">
        <v>633</v>
      </c>
      <c r="C270" s="525"/>
      <c r="D270" s="569">
        <f>'[15]Balance sheet groupings'!D415</f>
        <v>10137.817903200003</v>
      </c>
      <c r="E270" s="412">
        <f>'[15]Balance sheet groupings'!F415</f>
        <v>8251.9965542999998</v>
      </c>
      <c r="F270" s="569"/>
      <c r="G270" s="569"/>
      <c r="H270" s="569"/>
      <c r="I270" s="569"/>
      <c r="J270" s="366"/>
    </row>
    <row r="271" spans="1:31" ht="15" customHeight="1" x14ac:dyDescent="0.25">
      <c r="A271" s="519"/>
      <c r="B271" s="613" t="s">
        <v>634</v>
      </c>
      <c r="C271" s="525"/>
      <c r="D271" s="569">
        <f>'[15]Balance sheet groupings'!D417</f>
        <v>12193.656773153403</v>
      </c>
      <c r="E271" s="412">
        <f>'[15]Balance sheet groupings'!F417</f>
        <v>14703.602742297424</v>
      </c>
      <c r="F271" s="569"/>
      <c r="G271" s="569"/>
      <c r="H271" s="569"/>
      <c r="I271" s="569"/>
      <c r="J271" s="366"/>
    </row>
    <row r="272" spans="1:31" x14ac:dyDescent="0.25">
      <c r="A272" s="519"/>
      <c r="B272" s="614" t="s">
        <v>635</v>
      </c>
      <c r="C272" s="525"/>
      <c r="D272" s="569">
        <f>'[15]Balance sheet groupings'!D450</f>
        <v>1998.0761355999998</v>
      </c>
      <c r="E272" s="412">
        <f>'[15]Balance sheet groupings'!F450</f>
        <v>1315.7896163999997</v>
      </c>
      <c r="F272" s="569">
        <v>1383.6393369</v>
      </c>
      <c r="G272" s="569"/>
      <c r="H272" s="569"/>
      <c r="I272" s="569"/>
      <c r="J272" s="366"/>
    </row>
    <row r="273" spans="1:60" x14ac:dyDescent="0.25">
      <c r="A273" s="519"/>
      <c r="B273" s="612" t="s">
        <v>636</v>
      </c>
      <c r="C273" s="525"/>
      <c r="D273" s="569"/>
      <c r="E273" s="412"/>
      <c r="F273" s="569"/>
      <c r="G273" s="569"/>
      <c r="H273" s="569"/>
      <c r="I273" s="569"/>
      <c r="J273" s="366"/>
    </row>
    <row r="274" spans="1:60" ht="16.5" hidden="1" customHeight="1" x14ac:dyDescent="0.25">
      <c r="A274" s="519"/>
      <c r="B274" s="614" t="s">
        <v>632</v>
      </c>
      <c r="C274" s="525"/>
      <c r="D274" s="569"/>
      <c r="E274" s="412">
        <f>'[15]Balance sheet groupings'!F453</f>
        <v>0</v>
      </c>
      <c r="F274" s="569">
        <v>0</v>
      </c>
      <c r="G274" s="569"/>
      <c r="H274" s="569"/>
      <c r="I274" s="569"/>
      <c r="J274" s="366"/>
    </row>
    <row r="275" spans="1:60" ht="15" hidden="1" customHeight="1" x14ac:dyDescent="0.25">
      <c r="A275" s="519"/>
      <c r="B275" s="614" t="s">
        <v>637</v>
      </c>
      <c r="C275" s="615"/>
      <c r="D275" s="569">
        <f>SUM('[15]Balance sheet groupings'!D458)</f>
        <v>0</v>
      </c>
      <c r="E275" s="412">
        <f>SUM('[15]Balance sheet groupings'!E458)</f>
        <v>0</v>
      </c>
      <c r="F275" s="569">
        <v>0</v>
      </c>
      <c r="G275" s="569"/>
      <c r="H275" s="569"/>
      <c r="I275" s="569"/>
      <c r="J275" s="366"/>
    </row>
    <row r="276" spans="1:60" x14ac:dyDescent="0.25">
      <c r="A276" s="519"/>
      <c r="B276" s="614" t="s">
        <v>638</v>
      </c>
      <c r="C276" s="615"/>
      <c r="D276" s="569">
        <f>'[15]Balance sheet groupings'!D461</f>
        <v>243.5430308</v>
      </c>
      <c r="E276" s="412">
        <f>'[15]Balance sheet groupings'!F461</f>
        <v>255.4055482</v>
      </c>
      <c r="F276" s="569">
        <v>249.30234190000002</v>
      </c>
      <c r="G276" s="569"/>
      <c r="H276" s="569"/>
      <c r="I276" s="569"/>
      <c r="J276" s="366"/>
    </row>
    <row r="277" spans="1:60" x14ac:dyDescent="0.25">
      <c r="A277" s="519"/>
      <c r="B277" s="614" t="s">
        <v>639</v>
      </c>
      <c r="C277" s="615"/>
      <c r="D277" s="569">
        <f>'[15]Balance sheet groupings'!D465</f>
        <v>144.75851849999998</v>
      </c>
      <c r="E277" s="412">
        <f>'[15]Balance sheet groupings'!F465</f>
        <v>156.4779509</v>
      </c>
      <c r="F277" s="569">
        <v>165.56232129999998</v>
      </c>
      <c r="G277" s="569"/>
      <c r="H277" s="569"/>
      <c r="I277" s="569"/>
      <c r="J277" s="366"/>
    </row>
    <row r="278" spans="1:60" s="242" customFormat="1" hidden="1" x14ac:dyDescent="0.25">
      <c r="A278" s="558"/>
      <c r="B278" s="613" t="s">
        <v>640</v>
      </c>
      <c r="C278" s="616"/>
      <c r="D278" s="617">
        <f>SUM('[15]Balance sheet groupings'!D472)</f>
        <v>0</v>
      </c>
      <c r="E278" s="412">
        <f>SUM('[15]Balance sheet groupings'!F472)</f>
        <v>0</v>
      </c>
      <c r="F278" s="569">
        <v>105.62398735799999</v>
      </c>
      <c r="G278" s="569"/>
      <c r="H278" s="569"/>
      <c r="I278" s="569"/>
      <c r="J278" s="366"/>
      <c r="K278" s="250"/>
      <c r="L278" s="241"/>
      <c r="M278" s="241"/>
      <c r="AE278" s="243"/>
      <c r="AF278" s="243"/>
      <c r="AG278" s="243"/>
      <c r="AH278" s="243"/>
      <c r="AI278" s="243"/>
      <c r="AJ278" s="243"/>
      <c r="AK278" s="243"/>
      <c r="AL278" s="243"/>
      <c r="AM278" s="243"/>
      <c r="AN278" s="243"/>
      <c r="AO278" s="243"/>
      <c r="AP278" s="243"/>
      <c r="AQ278" s="243"/>
      <c r="AR278" s="243"/>
      <c r="AS278" s="243"/>
      <c r="AT278" s="243"/>
      <c r="AU278" s="243"/>
      <c r="AV278" s="243"/>
      <c r="AW278" s="243"/>
      <c r="AX278" s="243"/>
      <c r="AY278" s="243"/>
      <c r="AZ278" s="243"/>
      <c r="BA278" s="243"/>
      <c r="BB278" s="243"/>
      <c r="BC278" s="243"/>
      <c r="BD278" s="243"/>
      <c r="BE278" s="243"/>
      <c r="BF278" s="243"/>
      <c r="BG278" s="243"/>
      <c r="BH278" s="243"/>
    </row>
    <row r="279" spans="1:60" x14ac:dyDescent="0.25">
      <c r="A279" s="519"/>
      <c r="B279" s="614" t="str">
        <f>'[15]Balance sheet groupings'!B473</f>
        <v>GOM -Central Financial Assistance</v>
      </c>
      <c r="C279" s="615"/>
      <c r="D279" s="569">
        <f>'[15]Balance sheet groupings'!D473</f>
        <v>6.6902387000000001</v>
      </c>
      <c r="E279" s="412">
        <f>'[15]Balance sheet groupings'!F473</f>
        <v>4.0669728000000003</v>
      </c>
      <c r="F279" s="569">
        <v>0</v>
      </c>
      <c r="G279" s="569"/>
      <c r="H279" s="569"/>
      <c r="I279" s="569"/>
      <c r="J279" s="366"/>
    </row>
    <row r="280" spans="1:60" ht="15.75" thickBot="1" x14ac:dyDescent="0.3">
      <c r="A280" s="519"/>
      <c r="B280" s="614"/>
      <c r="C280" s="525"/>
      <c r="D280" s="572">
        <f>SUM(D269:D279)</f>
        <v>24724.542599953405</v>
      </c>
      <c r="E280" s="573">
        <f t="shared" ref="E280:F280" si="25">SUM(E269:E279)</f>
        <v>24687.339384897423</v>
      </c>
      <c r="F280" s="390">
        <f t="shared" si="25"/>
        <v>22211.191210778834</v>
      </c>
      <c r="G280" s="390"/>
      <c r="H280" s="390"/>
      <c r="I280" s="390"/>
      <c r="J280" s="267"/>
      <c r="L280" s="595"/>
    </row>
    <row r="281" spans="1:60" ht="24.95" customHeight="1" thickTop="1" x14ac:dyDescent="0.25">
      <c r="A281" s="519"/>
      <c r="B281" s="1920" t="s">
        <v>641</v>
      </c>
      <c r="C281" s="1920"/>
      <c r="D281" s="1920"/>
      <c r="E281" s="1921"/>
      <c r="F281" s="390"/>
      <c r="G281" s="390"/>
      <c r="H281" s="390"/>
      <c r="I281" s="390"/>
      <c r="J281" s="267"/>
      <c r="L281" s="595"/>
    </row>
    <row r="282" spans="1:60" ht="36" customHeight="1" x14ac:dyDescent="0.25">
      <c r="A282" s="519"/>
      <c r="B282" s="1922" t="s">
        <v>642</v>
      </c>
      <c r="C282" s="1922"/>
      <c r="D282" s="1922"/>
      <c r="E282" s="1923"/>
      <c r="F282" s="390"/>
      <c r="G282" s="390"/>
      <c r="H282" s="390"/>
      <c r="I282" s="390"/>
      <c r="J282" s="267"/>
      <c r="L282" s="595"/>
    </row>
    <row r="283" spans="1:60" x14ac:dyDescent="0.25">
      <c r="A283" s="519"/>
      <c r="B283" s="614"/>
      <c r="C283" s="525"/>
      <c r="D283" s="521"/>
      <c r="E283" s="522"/>
      <c r="F283" s="518"/>
      <c r="G283" s="574"/>
      <c r="H283" s="574"/>
      <c r="I283" s="574"/>
      <c r="J283" s="618"/>
    </row>
    <row r="284" spans="1:60" x14ac:dyDescent="0.25">
      <c r="A284" s="548" t="s">
        <v>643</v>
      </c>
      <c r="B284" s="549" t="s">
        <v>644</v>
      </c>
      <c r="C284" s="525"/>
      <c r="D284" s="521"/>
      <c r="E284" s="522"/>
      <c r="F284" s="518"/>
      <c r="G284" s="574"/>
      <c r="H284" s="574"/>
      <c r="I284" s="574"/>
    </row>
    <row r="285" spans="1:60" x14ac:dyDescent="0.25">
      <c r="A285" s="519"/>
      <c r="B285" s="562" t="s">
        <v>645</v>
      </c>
      <c r="C285" s="525"/>
      <c r="D285" s="569">
        <f>'[15]Balance sheet groupings'!D482</f>
        <v>2858.522720325645</v>
      </c>
      <c r="E285" s="412">
        <f>'[15]Balance sheet groupings'!F482</f>
        <v>2926.5594399255865</v>
      </c>
      <c r="F285" s="569">
        <v>3069.8995987232825</v>
      </c>
      <c r="G285" s="569"/>
      <c r="H285" s="569"/>
      <c r="I285" s="569"/>
    </row>
    <row r="286" spans="1:60" ht="15.75" thickBot="1" x14ac:dyDescent="0.3">
      <c r="A286" s="519"/>
      <c r="B286" s="614"/>
      <c r="C286" s="525"/>
      <c r="D286" s="572">
        <f>D285</f>
        <v>2858.522720325645</v>
      </c>
      <c r="E286" s="573">
        <f t="shared" ref="E286:F286" si="26">E285</f>
        <v>2926.5594399255865</v>
      </c>
      <c r="F286" s="390">
        <f t="shared" si="26"/>
        <v>3069.8995987232825</v>
      </c>
      <c r="G286" s="390"/>
      <c r="H286" s="390"/>
      <c r="I286" s="390"/>
    </row>
    <row r="287" spans="1:60" ht="15.75" thickTop="1" x14ac:dyDescent="0.25">
      <c r="A287" s="519"/>
      <c r="B287" s="614"/>
      <c r="C287" s="525"/>
      <c r="D287" s="521"/>
      <c r="E287" s="522"/>
      <c r="F287" s="518"/>
      <c r="G287" s="574"/>
      <c r="H287" s="574"/>
      <c r="I287" s="574"/>
    </row>
    <row r="288" spans="1:60" x14ac:dyDescent="0.25">
      <c r="A288" s="519">
        <v>14</v>
      </c>
      <c r="B288" s="549" t="s">
        <v>646</v>
      </c>
      <c r="C288" s="560"/>
      <c r="D288" s="355"/>
      <c r="E288" s="619"/>
      <c r="AE288" s="243">
        <f>+A288</f>
        <v>14</v>
      </c>
    </row>
    <row r="289" spans="1:31" x14ac:dyDescent="0.25">
      <c r="A289" s="519"/>
      <c r="B289" s="562" t="s">
        <v>210</v>
      </c>
      <c r="C289" s="560"/>
      <c r="D289" s="620">
        <f>'[15]Balance sheet groupings'!D485</f>
        <v>719.79877039999997</v>
      </c>
      <c r="E289" s="412">
        <f>'[15]Balance sheet groupings'!F485</f>
        <v>558.20255659999998</v>
      </c>
      <c r="F289" s="569">
        <v>539.47256479999999</v>
      </c>
      <c r="G289" s="569"/>
      <c r="H289" s="569"/>
      <c r="I289" s="569"/>
      <c r="J289" s="366"/>
    </row>
    <row r="290" spans="1:31" x14ac:dyDescent="0.25">
      <c r="A290" s="519"/>
      <c r="B290" s="562" t="s">
        <v>647</v>
      </c>
      <c r="C290" s="560"/>
      <c r="D290" s="620">
        <f>'[15]Balance sheet groupings'!D486</f>
        <v>784.35546490000002</v>
      </c>
      <c r="E290" s="412">
        <f>'[15]Balance sheet groupings'!F486</f>
        <v>595.24605069999996</v>
      </c>
      <c r="F290" s="569">
        <v>572.06474839999998</v>
      </c>
      <c r="G290" s="569"/>
      <c r="H290" s="569"/>
      <c r="I290" s="569"/>
      <c r="J290" s="366"/>
    </row>
    <row r="291" spans="1:31" ht="15.75" thickBot="1" x14ac:dyDescent="0.3">
      <c r="A291" s="519"/>
      <c r="B291" s="553" t="s">
        <v>591</v>
      </c>
      <c r="C291" s="560"/>
      <c r="D291" s="572">
        <f>+SUM(D289:D290)</f>
        <v>1504.1542353</v>
      </c>
      <c r="E291" s="573">
        <f>+SUM(E289:E290)</f>
        <v>1153.4486072999998</v>
      </c>
      <c r="F291" s="390">
        <f>+SUM(F289:F290)</f>
        <v>1111.5373132</v>
      </c>
      <c r="G291" s="390"/>
      <c r="H291" s="390"/>
      <c r="I291" s="390"/>
      <c r="J291" s="546"/>
    </row>
    <row r="292" spans="1:31" ht="15.75" thickTop="1" x14ac:dyDescent="0.25">
      <c r="A292" s="581"/>
      <c r="B292" s="621"/>
      <c r="C292" s="622"/>
      <c r="D292" s="623"/>
      <c r="E292" s="624"/>
    </row>
    <row r="293" spans="1:31" x14ac:dyDescent="0.25">
      <c r="A293" s="625">
        <v>16</v>
      </c>
      <c r="B293" s="626" t="s">
        <v>648</v>
      </c>
      <c r="C293" s="627"/>
      <c r="D293" s="628"/>
      <c r="E293" s="629"/>
      <c r="AE293" s="243">
        <f>+A293</f>
        <v>16</v>
      </c>
    </row>
    <row r="294" spans="1:31" x14ac:dyDescent="0.25">
      <c r="A294" s="630"/>
      <c r="B294" s="631" t="s">
        <v>649</v>
      </c>
      <c r="C294" s="560"/>
      <c r="D294" s="569">
        <f>+'[15]Balance sheet groupings'!C496</f>
        <v>560.20862350000004</v>
      </c>
      <c r="E294" s="412">
        <f>'[15]Balance sheet groupings'!E496+'[15]Balance sheet groupings'!E492</f>
        <v>365.21133279999998</v>
      </c>
      <c r="F294" s="569">
        <v>0</v>
      </c>
      <c r="G294" s="569"/>
      <c r="H294" s="569"/>
      <c r="I294" s="569"/>
      <c r="J294" s="366"/>
    </row>
    <row r="295" spans="1:31" hidden="1" x14ac:dyDescent="0.25">
      <c r="A295" s="630"/>
      <c r="B295" s="631" t="s">
        <v>650</v>
      </c>
      <c r="C295" s="560"/>
      <c r="D295" s="569">
        <f>+'[15]Balance sheet groupings'!C473</f>
        <v>0</v>
      </c>
      <c r="E295" s="412"/>
      <c r="F295" s="569"/>
      <c r="G295" s="569"/>
      <c r="H295" s="569"/>
      <c r="I295" s="569"/>
      <c r="J295" s="366"/>
    </row>
    <row r="296" spans="1:31" x14ac:dyDescent="0.25">
      <c r="A296" s="630"/>
      <c r="B296" s="632" t="s">
        <v>651</v>
      </c>
      <c r="C296" s="560"/>
      <c r="D296" s="569">
        <f>'[15]Balance sheet groupings'!D501-'[15]Balance sheet groupings'!C496-'[15]Balance sheet groupings'!C473</f>
        <v>289.71240933900003</v>
      </c>
      <c r="E296" s="412">
        <f>+'[15]Balance sheet groupings'!E497+'[15]Balance sheet groupings'!E498+'[15]Balance sheet groupings'!E499</f>
        <v>289.46240933900003</v>
      </c>
      <c r="F296" s="569">
        <v>289.46240933900003</v>
      </c>
      <c r="G296" s="569"/>
      <c r="H296" s="569"/>
      <c r="I296" s="569"/>
      <c r="J296" s="366"/>
    </row>
    <row r="297" spans="1:31" ht="15.75" thickBot="1" x14ac:dyDescent="0.3">
      <c r="A297" s="630"/>
      <c r="B297" s="633" t="s">
        <v>591</v>
      </c>
      <c r="C297" s="560"/>
      <c r="D297" s="572">
        <f>SUM(D294:D296)</f>
        <v>849.92103283900008</v>
      </c>
      <c r="E297" s="573">
        <f>SUM(E294:E296)</f>
        <v>654.67374213900007</v>
      </c>
      <c r="F297" s="390">
        <f>SUM(F294:F296)</f>
        <v>289.46240933900003</v>
      </c>
      <c r="G297" s="390"/>
      <c r="H297" s="390"/>
      <c r="I297" s="390"/>
      <c r="J297" s="546"/>
    </row>
    <row r="298" spans="1:31" ht="15.75" thickTop="1" x14ac:dyDescent="0.25">
      <c r="A298" s="630"/>
      <c r="B298" s="633" t="s">
        <v>591</v>
      </c>
      <c r="C298" s="560"/>
      <c r="D298" s="355"/>
      <c r="E298" s="619"/>
    </row>
    <row r="299" spans="1:31" x14ac:dyDescent="0.25">
      <c r="A299" s="630">
        <v>17</v>
      </c>
      <c r="B299" s="634" t="s">
        <v>652</v>
      </c>
      <c r="C299" s="560"/>
      <c r="D299" s="355"/>
      <c r="E299" s="619"/>
      <c r="AE299" s="243">
        <f>+A299</f>
        <v>17</v>
      </c>
    </row>
    <row r="300" spans="1:31" x14ac:dyDescent="0.25">
      <c r="A300" s="630"/>
      <c r="B300" s="635" t="s">
        <v>653</v>
      </c>
      <c r="C300" s="560"/>
      <c r="D300" s="355"/>
      <c r="E300" s="619"/>
    </row>
    <row r="301" spans="1:31" x14ac:dyDescent="0.25">
      <c r="A301" s="630"/>
      <c r="B301" s="635" t="s">
        <v>654</v>
      </c>
      <c r="C301" s="560"/>
      <c r="D301" s="355"/>
      <c r="E301" s="619"/>
    </row>
    <row r="302" spans="1:31" x14ac:dyDescent="0.25">
      <c r="A302" s="630"/>
      <c r="B302" s="635" t="s">
        <v>655</v>
      </c>
      <c r="C302" s="560"/>
      <c r="D302" s="355"/>
      <c r="E302" s="619"/>
    </row>
    <row r="303" spans="1:31" x14ac:dyDescent="0.25">
      <c r="A303" s="630"/>
      <c r="B303" s="632" t="s">
        <v>656</v>
      </c>
      <c r="C303" s="525"/>
      <c r="D303" s="569">
        <f>'[15]Balance sheet groupings'!D553-D309+'[15]Balance sheet groupings'!D532</f>
        <v>11288.425335692</v>
      </c>
      <c r="E303" s="412">
        <f>'[15]Balance sheet groupings'!F532+'[15]Balance sheet groupings'!F553-E309</f>
        <v>12505.698200789002</v>
      </c>
      <c r="F303" s="569">
        <f>7809.725008345+1515.5027162</f>
        <v>9325.2277245450005</v>
      </c>
      <c r="G303" s="569"/>
      <c r="H303" s="569"/>
      <c r="I303" s="569"/>
      <c r="J303" s="366"/>
    </row>
    <row r="304" spans="1:31" hidden="1" x14ac:dyDescent="0.25">
      <c r="A304" s="630"/>
      <c r="B304" s="632"/>
      <c r="C304" s="525"/>
      <c r="D304" s="569"/>
      <c r="E304" s="412"/>
      <c r="F304" s="569"/>
      <c r="G304" s="569"/>
      <c r="H304" s="569"/>
      <c r="I304" s="569"/>
      <c r="J304" s="366"/>
    </row>
    <row r="305" spans="1:60" x14ac:dyDescent="0.25">
      <c r="A305" s="630"/>
      <c r="B305" s="631" t="s">
        <v>657</v>
      </c>
      <c r="C305" s="560"/>
      <c r="D305" s="620">
        <f>'[15]Balance sheet groupings'!D554</f>
        <v>2930.4689049626008</v>
      </c>
      <c r="E305" s="412">
        <f>'[15]Balance sheet groupings'!F554</f>
        <v>3008.6983286605678</v>
      </c>
      <c r="F305" s="569">
        <v>3586.7015421791675</v>
      </c>
      <c r="G305" s="569"/>
      <c r="H305" s="569"/>
      <c r="I305" s="569"/>
      <c r="J305" s="366">
        <f>D305-E305</f>
        <v>-78.229423697966922</v>
      </c>
      <c r="L305" s="268">
        <v>100</v>
      </c>
    </row>
    <row r="306" spans="1:60" hidden="1" x14ac:dyDescent="0.25">
      <c r="A306" s="630"/>
      <c r="B306" s="631"/>
      <c r="C306" s="560"/>
      <c r="D306" s="569"/>
      <c r="E306" s="412"/>
      <c r="F306" s="569"/>
      <c r="G306" s="569"/>
      <c r="H306" s="569"/>
      <c r="I306" s="569"/>
      <c r="J306" s="366"/>
    </row>
    <row r="307" spans="1:60" x14ac:dyDescent="0.25">
      <c r="A307" s="630"/>
      <c r="B307" s="635" t="s">
        <v>658</v>
      </c>
      <c r="C307" s="560"/>
      <c r="D307" s="569"/>
      <c r="E307" s="412"/>
      <c r="F307" s="569"/>
      <c r="G307" s="569"/>
      <c r="H307" s="569"/>
      <c r="I307" s="569"/>
      <c r="J307" s="366"/>
    </row>
    <row r="308" spans="1:60" x14ac:dyDescent="0.25">
      <c r="A308" s="630"/>
      <c r="B308" s="635" t="s">
        <v>655</v>
      </c>
      <c r="C308" s="560"/>
      <c r="D308" s="569"/>
      <c r="E308" s="412"/>
      <c r="F308" s="569"/>
      <c r="G308" s="569"/>
      <c r="H308" s="569"/>
      <c r="I308" s="569"/>
      <c r="J308" s="366"/>
      <c r="K308" s="267">
        <v>1</v>
      </c>
      <c r="L308" s="268">
        <f>K308/(0+1.1)</f>
        <v>0.90909090909090906</v>
      </c>
      <c r="M308" s="241">
        <f>+L305*L308</f>
        <v>90.909090909090907</v>
      </c>
      <c r="N308" s="242">
        <f>+M308*0.1</f>
        <v>9.0909090909090917</v>
      </c>
    </row>
    <row r="309" spans="1:60" x14ac:dyDescent="0.25">
      <c r="A309" s="630"/>
      <c r="B309" s="632" t="s">
        <v>656</v>
      </c>
      <c r="C309" s="560"/>
      <c r="D309" s="569">
        <f>'[15]Rep Terms ST'!F22</f>
        <v>37.499997899999997</v>
      </c>
      <c r="E309" s="412">
        <f>+'[15]Balance sheet groupings'!E561</f>
        <v>137.49999869999999</v>
      </c>
      <c r="F309" s="569">
        <v>3000</v>
      </c>
      <c r="G309" s="569"/>
      <c r="H309" s="569"/>
      <c r="I309" s="569"/>
      <c r="J309" s="366"/>
      <c r="K309" s="267">
        <f>+L308</f>
        <v>0.90909090909090906</v>
      </c>
      <c r="L309" s="268">
        <f>K309/(0+1.1)</f>
        <v>0.82644628099173545</v>
      </c>
    </row>
    <row r="310" spans="1:60" x14ac:dyDescent="0.25">
      <c r="A310" s="630"/>
      <c r="B310" s="632" t="s">
        <v>659</v>
      </c>
      <c r="C310" s="560"/>
      <c r="D310" s="569">
        <f>'[15]Balance sheet groupings'!D576</f>
        <v>1787.499998</v>
      </c>
      <c r="E310" s="412">
        <f>'[15]Balance sheet groupings'!F576</f>
        <v>1620.8333318999998</v>
      </c>
      <c r="F310" s="569">
        <v>1387.4999995000001</v>
      </c>
      <c r="G310" s="569"/>
      <c r="H310" s="569"/>
      <c r="I310" s="569"/>
      <c r="J310" s="366"/>
      <c r="K310" s="267">
        <f>+L309</f>
        <v>0.82644628099173545</v>
      </c>
      <c r="L310" s="268">
        <f>K310/(0+1.1)</f>
        <v>0.75131480090157765</v>
      </c>
    </row>
    <row r="311" spans="1:60" ht="15.75" thickBot="1" x14ac:dyDescent="0.3">
      <c r="A311" s="630"/>
      <c r="B311" s="529"/>
      <c r="C311" s="525"/>
      <c r="D311" s="572">
        <f>SUM(D303:D310)</f>
        <v>16043.894236554601</v>
      </c>
      <c r="E311" s="573">
        <f>SUM(E303:E310)</f>
        <v>17272.729860049571</v>
      </c>
      <c r="F311" s="390">
        <f>SUM(F303:F310)</f>
        <v>17299.429266224168</v>
      </c>
      <c r="G311" s="390"/>
      <c r="H311" s="390"/>
      <c r="I311" s="390"/>
      <c r="J311" s="546"/>
      <c r="K311" s="267">
        <f>+L310</f>
        <v>0.75131480090157765</v>
      </c>
      <c r="L311" s="268">
        <f>K311/(0+1.1)</f>
        <v>0.68301345536507052</v>
      </c>
    </row>
    <row r="312" spans="1:60" s="642" customFormat="1" ht="24.95" customHeight="1" thickTop="1" x14ac:dyDescent="0.25">
      <c r="A312" s="636"/>
      <c r="B312" s="1924" t="s">
        <v>660</v>
      </c>
      <c r="C312" s="1924"/>
      <c r="D312" s="1924"/>
      <c r="E312" s="1925"/>
      <c r="F312" s="390"/>
      <c r="G312" s="390"/>
      <c r="H312" s="390"/>
      <c r="I312" s="390"/>
      <c r="J312" s="637"/>
      <c r="K312" s="638"/>
      <c r="L312" s="639"/>
      <c r="M312" s="640"/>
      <c r="N312" s="641"/>
      <c r="AE312" s="643"/>
      <c r="AF312" s="643"/>
      <c r="AG312" s="643"/>
      <c r="AH312" s="643"/>
      <c r="AI312" s="643"/>
      <c r="AJ312" s="643"/>
      <c r="AK312" s="643"/>
      <c r="AL312" s="643"/>
      <c r="AM312" s="643"/>
      <c r="AN312" s="643"/>
      <c r="AO312" s="643"/>
      <c r="AP312" s="643"/>
      <c r="AQ312" s="643"/>
      <c r="AR312" s="643"/>
      <c r="AS312" s="643"/>
      <c r="AT312" s="643"/>
      <c r="AU312" s="643"/>
      <c r="AV312" s="643"/>
      <c r="AW312" s="643"/>
      <c r="AX312" s="643"/>
      <c r="AY312" s="643"/>
      <c r="AZ312" s="643"/>
      <c r="BA312" s="643"/>
      <c r="BB312" s="643"/>
      <c r="BC312" s="643"/>
      <c r="BD312" s="643"/>
      <c r="BE312" s="643"/>
      <c r="BF312" s="643"/>
      <c r="BG312" s="643"/>
      <c r="BH312" s="643"/>
    </row>
    <row r="313" spans="1:60" s="242" customFormat="1" ht="30" customHeight="1" x14ac:dyDescent="0.25">
      <c r="A313" s="644"/>
      <c r="B313" s="1926" t="s">
        <v>661</v>
      </c>
      <c r="C313" s="1926"/>
      <c r="D313" s="1926"/>
      <c r="E313" s="1927"/>
      <c r="F313" s="563"/>
      <c r="G313" s="546"/>
      <c r="H313" s="546"/>
      <c r="I313" s="546"/>
      <c r="J313" s="546"/>
      <c r="K313" s="250"/>
      <c r="L313" s="241"/>
      <c r="M313" s="241"/>
      <c r="AE313" s="243"/>
      <c r="AF313" s="243"/>
      <c r="AG313" s="243"/>
      <c r="AH313" s="243"/>
      <c r="AI313" s="243"/>
      <c r="AJ313" s="243"/>
      <c r="AK313" s="243"/>
      <c r="AL313" s="243"/>
      <c r="AM313" s="243"/>
      <c r="AN313" s="243"/>
      <c r="AO313" s="243"/>
      <c r="AP313" s="243"/>
      <c r="AQ313" s="243"/>
      <c r="AR313" s="243"/>
      <c r="AS313" s="243"/>
      <c r="AT313" s="243"/>
      <c r="AU313" s="243"/>
      <c r="AV313" s="243"/>
      <c r="AW313" s="243"/>
      <c r="AX313" s="243"/>
      <c r="AY313" s="243"/>
      <c r="AZ313" s="243"/>
      <c r="BA313" s="243"/>
      <c r="BB313" s="243"/>
      <c r="BC313" s="243"/>
      <c r="BD313" s="243"/>
      <c r="BE313" s="243"/>
      <c r="BF313" s="243"/>
      <c r="BG313" s="243"/>
      <c r="BH313" s="243"/>
    </row>
    <row r="314" spans="1:60" x14ac:dyDescent="0.25">
      <c r="A314" s="630"/>
      <c r="B314" s="529"/>
      <c r="C314" s="525"/>
      <c r="D314" s="563"/>
      <c r="E314" s="545"/>
      <c r="F314" s="563"/>
      <c r="G314" s="546"/>
      <c r="H314" s="546"/>
      <c r="I314" s="546"/>
      <c r="J314" s="546"/>
    </row>
    <row r="315" spans="1:60" x14ac:dyDescent="0.25">
      <c r="A315" s="645" t="s">
        <v>662</v>
      </c>
      <c r="B315" s="646" t="s">
        <v>663</v>
      </c>
      <c r="C315" s="525"/>
      <c r="D315" s="518"/>
      <c r="E315" s="530"/>
      <c r="F315" s="518"/>
      <c r="G315" s="574"/>
      <c r="H315" s="574"/>
      <c r="I315" s="574"/>
      <c r="J315" s="266"/>
      <c r="AE315" s="243" t="str">
        <f>+A315</f>
        <v>17A</v>
      </c>
    </row>
    <row r="316" spans="1:60" x14ac:dyDescent="0.25">
      <c r="A316" s="630"/>
      <c r="B316" s="647" t="s">
        <v>664</v>
      </c>
      <c r="C316" s="525"/>
      <c r="D316" s="569">
        <f>'[15]Balance sheet groupings'!D581</f>
        <v>173.91196567135512</v>
      </c>
      <c r="E316" s="412">
        <f>'[15]Balance sheet groupings'!F581</f>
        <v>143.34015883641399</v>
      </c>
      <c r="F316" s="569">
        <v>161.37657508971779</v>
      </c>
      <c r="G316" s="569"/>
      <c r="H316" s="569"/>
      <c r="I316" s="569"/>
      <c r="J316" s="366"/>
      <c r="M316" s="648"/>
    </row>
    <row r="317" spans="1:60" ht="15.75" thickBot="1" x14ac:dyDescent="0.3">
      <c r="A317" s="630"/>
      <c r="B317" s="527" t="s">
        <v>591</v>
      </c>
      <c r="C317" s="525"/>
      <c r="D317" s="572">
        <f>D316</f>
        <v>173.91196567135512</v>
      </c>
      <c r="E317" s="573">
        <f t="shared" ref="E317:F317" si="27">E316</f>
        <v>143.34015883641399</v>
      </c>
      <c r="F317" s="390">
        <f t="shared" si="27"/>
        <v>161.37657508971779</v>
      </c>
      <c r="G317" s="390"/>
      <c r="H317" s="390"/>
      <c r="I317" s="390"/>
      <c r="J317" s="546"/>
    </row>
    <row r="318" spans="1:60" ht="15.75" thickTop="1" x14ac:dyDescent="0.25">
      <c r="A318" s="630"/>
      <c r="B318" s="527" t="s">
        <v>591</v>
      </c>
      <c r="C318" s="525"/>
      <c r="D318" s="649"/>
      <c r="E318" s="650"/>
      <c r="F318" s="518"/>
      <c r="G318" s="574"/>
      <c r="H318" s="574"/>
      <c r="I318" s="574"/>
      <c r="J318" s="266"/>
    </row>
    <row r="319" spans="1:60" x14ac:dyDescent="0.25">
      <c r="A319" s="630">
        <v>18</v>
      </c>
      <c r="B319" s="646" t="s">
        <v>665</v>
      </c>
      <c r="C319" s="525"/>
      <c r="D319" s="518"/>
      <c r="E319" s="651"/>
      <c r="F319" s="518"/>
      <c r="G319" s="574"/>
      <c r="H319" s="574"/>
      <c r="I319" s="574"/>
      <c r="J319" s="266"/>
      <c r="AE319" s="243">
        <f>+A319</f>
        <v>18</v>
      </c>
    </row>
    <row r="320" spans="1:60" x14ac:dyDescent="0.25">
      <c r="A320" s="630"/>
      <c r="B320" s="647" t="s">
        <v>666</v>
      </c>
      <c r="C320" s="525"/>
      <c r="D320" s="620">
        <f>'[15]Balance sheet groupings'!D585</f>
        <v>1.85664096065643</v>
      </c>
      <c r="E320" s="412">
        <f>'[15]Balance sheet groupings'!F585</f>
        <v>1.00184668666744</v>
      </c>
      <c r="F320" s="569">
        <v>1.9636041497979999</v>
      </c>
      <c r="G320" s="569"/>
      <c r="H320" s="569"/>
      <c r="I320" s="569"/>
      <c r="J320" s="366"/>
      <c r="M320" s="648"/>
    </row>
    <row r="321" spans="1:60" x14ac:dyDescent="0.25">
      <c r="A321" s="630"/>
      <c r="B321" s="647" t="s">
        <v>667</v>
      </c>
      <c r="C321" s="525"/>
      <c r="D321" s="569">
        <f>'[15]Balance sheet groupings'!D643</f>
        <v>9747.6502665793432</v>
      </c>
      <c r="E321" s="412">
        <f>'[15]Balance sheet groupings'!F643</f>
        <v>8102.1865365563317</v>
      </c>
      <c r="F321" s="569">
        <v>6651.4754589652011</v>
      </c>
      <c r="G321" s="569"/>
      <c r="H321" s="569"/>
      <c r="I321" s="569"/>
      <c r="J321" s="366"/>
    </row>
    <row r="322" spans="1:60" ht="15.75" thickBot="1" x14ac:dyDescent="0.3">
      <c r="A322" s="630"/>
      <c r="B322" s="527" t="s">
        <v>591</v>
      </c>
      <c r="C322" s="525"/>
      <c r="D322" s="572">
        <f>+SUM(D320:D321)</f>
        <v>9749.5069075399988</v>
      </c>
      <c r="E322" s="573">
        <f>+SUM(E320:E321)</f>
        <v>8103.1883832429994</v>
      </c>
      <c r="F322" s="390">
        <f>+SUM(F320:F321)</f>
        <v>6653.439063114999</v>
      </c>
      <c r="G322" s="390"/>
      <c r="H322" s="390"/>
      <c r="I322" s="390"/>
      <c r="J322" s="546"/>
    </row>
    <row r="323" spans="1:60" ht="15.75" thickTop="1" x14ac:dyDescent="0.25">
      <c r="A323" s="652"/>
      <c r="B323" s="653" t="s">
        <v>591</v>
      </c>
      <c r="C323" s="583"/>
      <c r="D323" s="654"/>
      <c r="E323" s="655"/>
      <c r="F323" s="518"/>
      <c r="G323" s="574"/>
      <c r="H323" s="574"/>
      <c r="I323" s="574"/>
      <c r="J323" s="266"/>
    </row>
    <row r="324" spans="1:60" x14ac:dyDescent="0.25">
      <c r="A324" s="513">
        <v>19</v>
      </c>
      <c r="B324" s="586" t="s">
        <v>668</v>
      </c>
      <c r="C324" s="587"/>
      <c r="D324" s="656"/>
      <c r="E324" s="517"/>
      <c r="F324" s="518"/>
      <c r="G324" s="574"/>
      <c r="H324" s="574"/>
      <c r="I324" s="574"/>
      <c r="J324" s="266"/>
      <c r="M324" s="242"/>
      <c r="AE324" s="243">
        <f>+A324</f>
        <v>19</v>
      </c>
    </row>
    <row r="325" spans="1:60" x14ac:dyDescent="0.25">
      <c r="A325" s="519"/>
      <c r="B325" s="592" t="s">
        <v>669</v>
      </c>
      <c r="C325" s="525"/>
      <c r="D325" s="569">
        <f>'[15]Balance sheet groupings'!D650</f>
        <v>1541.637363801</v>
      </c>
      <c r="E325" s="412">
        <f>'[15]Balance sheet groupings'!F650</f>
        <v>1619.7648576329998</v>
      </c>
      <c r="F325" s="569">
        <v>1655.376802325</v>
      </c>
      <c r="G325" s="569"/>
      <c r="H325" s="569"/>
      <c r="I325" s="569"/>
      <c r="J325" s="366"/>
      <c r="N325" s="241"/>
    </row>
    <row r="326" spans="1:60" x14ac:dyDescent="0.25">
      <c r="A326" s="519"/>
      <c r="B326" s="592" t="s">
        <v>670</v>
      </c>
      <c r="C326" s="525"/>
      <c r="D326" s="569">
        <f>'[15]Balance sheet groupings'!D659</f>
        <v>187.42987904099999</v>
      </c>
      <c r="E326" s="412">
        <f>'[15]Balance sheet groupings'!F659</f>
        <v>245.48209451700001</v>
      </c>
      <c r="F326" s="569">
        <v>179.81683794399999</v>
      </c>
      <c r="G326" s="569"/>
      <c r="H326" s="569"/>
      <c r="I326" s="569"/>
      <c r="J326" s="366"/>
    </row>
    <row r="327" spans="1:60" x14ac:dyDescent="0.25">
      <c r="A327" s="519"/>
      <c r="B327" s="657" t="s">
        <v>671</v>
      </c>
      <c r="C327" s="525"/>
      <c r="D327" s="569">
        <f>'[15]Balance sheet groupings'!D671</f>
        <v>126.15593710000002</v>
      </c>
      <c r="E327" s="412">
        <f>'[15]Balance sheet groupings'!F671</f>
        <v>107.9310807</v>
      </c>
      <c r="F327" s="569">
        <v>198.30443490000002</v>
      </c>
      <c r="G327" s="569"/>
      <c r="H327" s="569"/>
      <c r="I327" s="569"/>
      <c r="J327" s="366"/>
    </row>
    <row r="328" spans="1:60" hidden="1" x14ac:dyDescent="0.25">
      <c r="A328" s="519"/>
      <c r="B328" s="562"/>
      <c r="C328" s="525"/>
      <c r="D328" s="569"/>
      <c r="E328" s="412"/>
      <c r="F328" s="569"/>
      <c r="G328" s="569"/>
      <c r="H328" s="569"/>
      <c r="I328" s="569"/>
      <c r="J328" s="366"/>
    </row>
    <row r="329" spans="1:60" x14ac:dyDescent="0.25">
      <c r="A329" s="519"/>
      <c r="B329" s="657" t="s">
        <v>672</v>
      </c>
      <c r="C329" s="525"/>
      <c r="D329" s="569">
        <f>'[15]Balance sheet groupings'!D673</f>
        <v>82.373988901000004</v>
      </c>
      <c r="E329" s="412">
        <f>'[15]Balance sheet groupings'!F673</f>
        <v>109.202121408</v>
      </c>
      <c r="F329" s="569">
        <v>113.757208968</v>
      </c>
      <c r="G329" s="569"/>
      <c r="H329" s="569"/>
      <c r="I329" s="569"/>
      <c r="J329" s="366"/>
    </row>
    <row r="330" spans="1:60" x14ac:dyDescent="0.25">
      <c r="A330" s="519"/>
      <c r="B330" s="657" t="s">
        <v>673</v>
      </c>
      <c r="C330" s="525"/>
      <c r="D330" s="620">
        <f>'[15]Balance sheet groupings'!D685</f>
        <v>878.55733773499992</v>
      </c>
      <c r="E330" s="412">
        <f>'[15]Balance sheet groupings'!F685</f>
        <v>845.82049583800006</v>
      </c>
      <c r="F330" s="569">
        <v>825.53064624099989</v>
      </c>
      <c r="G330" s="569"/>
      <c r="H330" s="569"/>
      <c r="I330" s="569"/>
      <c r="J330" s="366"/>
    </row>
    <row r="331" spans="1:60" x14ac:dyDescent="0.25">
      <c r="A331" s="519"/>
      <c r="B331" s="657" t="s">
        <v>674</v>
      </c>
      <c r="C331" s="525"/>
      <c r="D331" s="569">
        <f>'[15]Balance sheet groupings'!D686</f>
        <v>319.35688073200004</v>
      </c>
      <c r="E331" s="412">
        <f>'[15]Balance sheet groupings'!F686</f>
        <v>223.98553004099998</v>
      </c>
      <c r="F331" s="569">
        <v>172.41592859100001</v>
      </c>
      <c r="G331" s="569"/>
      <c r="H331" s="569"/>
      <c r="I331" s="569"/>
      <c r="J331" s="366"/>
    </row>
    <row r="332" spans="1:60" x14ac:dyDescent="0.25">
      <c r="A332" s="519"/>
      <c r="B332" s="657" t="s">
        <v>675</v>
      </c>
      <c r="C332" s="525"/>
      <c r="D332" s="569">
        <f>'[15]Balance sheet groupings'!D687</f>
        <v>473.56399540000001</v>
      </c>
      <c r="E332" s="412">
        <f>'[15]Balance sheet groupings'!F687</f>
        <v>487.7325586</v>
      </c>
      <c r="F332" s="569">
        <v>388.24378400000001</v>
      </c>
      <c r="G332" s="569"/>
      <c r="H332" s="569"/>
      <c r="I332" s="569"/>
      <c r="J332" s="366"/>
    </row>
    <row r="333" spans="1:60" s="242" customFormat="1" x14ac:dyDescent="0.25">
      <c r="A333" s="558"/>
      <c r="B333" s="562" t="s">
        <v>305</v>
      </c>
      <c r="C333" s="560"/>
      <c r="D333" s="569">
        <f>'[15]Balance sheet groupings'!D694</f>
        <v>344.66732127199998</v>
      </c>
      <c r="E333" s="412">
        <f>'[15]Balance sheet groupings'!F694</f>
        <v>372.58907349700007</v>
      </c>
      <c r="F333" s="569">
        <v>2.340666659</v>
      </c>
      <c r="G333" s="569"/>
      <c r="H333" s="569"/>
      <c r="I333" s="569"/>
      <c r="J333" s="366"/>
      <c r="K333" s="250"/>
      <c r="L333" s="241"/>
      <c r="M333" s="241"/>
      <c r="AE333" s="243"/>
      <c r="AF333" s="243"/>
      <c r="AG333" s="243"/>
      <c r="AH333" s="243"/>
      <c r="AI333" s="243"/>
      <c r="AJ333" s="243"/>
      <c r="AK333" s="243"/>
      <c r="AL333" s="243"/>
      <c r="AM333" s="243"/>
      <c r="AN333" s="243"/>
      <c r="AO333" s="243"/>
      <c r="AP333" s="243"/>
      <c r="AQ333" s="243"/>
      <c r="AR333" s="243"/>
      <c r="AS333" s="243"/>
      <c r="AT333" s="243"/>
      <c r="AU333" s="243"/>
      <c r="AV333" s="243"/>
      <c r="AW333" s="243"/>
      <c r="AX333" s="243"/>
      <c r="AY333" s="243"/>
      <c r="AZ333" s="243"/>
      <c r="BA333" s="243"/>
      <c r="BB333" s="243"/>
      <c r="BC333" s="243"/>
      <c r="BD333" s="243"/>
      <c r="BE333" s="243"/>
      <c r="BF333" s="243"/>
      <c r="BG333" s="243"/>
      <c r="BH333" s="243"/>
    </row>
    <row r="334" spans="1:60" x14ac:dyDescent="0.25">
      <c r="A334" s="519"/>
      <c r="B334" s="657" t="s">
        <v>676</v>
      </c>
      <c r="C334" s="525"/>
      <c r="D334" s="569">
        <f>'[15]Balance sheet groupings'!D722</f>
        <v>379.78044301100005</v>
      </c>
      <c r="E334" s="412">
        <f>'[15]Balance sheet groupings'!F722</f>
        <v>96.164346129999998</v>
      </c>
      <c r="F334" s="569">
        <v>164.985980826</v>
      </c>
      <c r="G334" s="569"/>
      <c r="H334" s="569"/>
      <c r="I334" s="569"/>
      <c r="J334" s="366"/>
    </row>
    <row r="335" spans="1:60" ht="15.75" thickBot="1" x14ac:dyDescent="0.3">
      <c r="A335" s="519"/>
      <c r="B335" s="564" t="s">
        <v>591</v>
      </c>
      <c r="C335" s="525"/>
      <c r="D335" s="572">
        <f>+SUM(D325:D334)</f>
        <v>4333.5231469929995</v>
      </c>
      <c r="E335" s="573">
        <f>+SUM(E325:E334)</f>
        <v>4108.6721583640001</v>
      </c>
      <c r="F335" s="390">
        <f>+SUM(F325:F334)</f>
        <v>3700.7722904539996</v>
      </c>
      <c r="G335" s="390"/>
      <c r="H335" s="390"/>
      <c r="I335" s="390"/>
      <c r="J335" s="546"/>
      <c r="L335" s="658"/>
    </row>
    <row r="336" spans="1:60" ht="15.75" thickTop="1" x14ac:dyDescent="0.25">
      <c r="A336" s="519"/>
      <c r="B336" s="550"/>
      <c r="C336" s="550"/>
      <c r="D336" s="550"/>
      <c r="E336" s="659"/>
      <c r="F336" s="660"/>
      <c r="G336" s="661"/>
      <c r="H336" s="661"/>
      <c r="I336" s="661"/>
      <c r="J336" s="662"/>
      <c r="K336" s="658"/>
      <c r="L336" s="663"/>
    </row>
    <row r="337" spans="1:31" x14ac:dyDescent="0.25">
      <c r="A337" s="519">
        <v>20</v>
      </c>
      <c r="B337" s="664" t="s">
        <v>336</v>
      </c>
      <c r="C337" s="525"/>
      <c r="D337" s="521"/>
      <c r="E337" s="522"/>
      <c r="F337" s="518"/>
      <c r="G337" s="574"/>
      <c r="H337" s="574"/>
      <c r="I337" s="574"/>
      <c r="J337" s="266"/>
      <c r="K337" s="658"/>
      <c r="L337" s="665"/>
      <c r="AE337" s="243">
        <f>+A337</f>
        <v>20</v>
      </c>
    </row>
    <row r="338" spans="1:31" x14ac:dyDescent="0.25">
      <c r="A338" s="519"/>
      <c r="B338" s="657" t="s">
        <v>677</v>
      </c>
      <c r="C338" s="525"/>
      <c r="D338" s="569">
        <f>+'[15]Balance sheet groupings'!D733</f>
        <v>18</v>
      </c>
      <c r="E338" s="412">
        <f>'[15]Balance sheet groupings'!F733</f>
        <v>81.686899999999994</v>
      </c>
      <c r="F338" s="569">
        <v>36.905000000000001</v>
      </c>
      <c r="G338" s="569"/>
      <c r="H338" s="569"/>
      <c r="I338" s="569"/>
      <c r="J338" s="266"/>
      <c r="K338" s="658"/>
      <c r="L338" s="665"/>
    </row>
    <row r="339" spans="1:31" x14ac:dyDescent="0.25">
      <c r="A339" s="519"/>
      <c r="B339" s="580"/>
      <c r="C339" s="525"/>
      <c r="D339" s="521"/>
      <c r="E339" s="522"/>
      <c r="F339" s="518"/>
      <c r="G339" s="574"/>
      <c r="H339" s="574"/>
      <c r="I339" s="574"/>
      <c r="J339" s="266"/>
      <c r="K339" s="658"/>
      <c r="L339" s="665"/>
    </row>
    <row r="340" spans="1:31" x14ac:dyDescent="0.25">
      <c r="A340" s="519"/>
      <c r="B340" s="580" t="s">
        <v>678</v>
      </c>
      <c r="C340" s="525"/>
      <c r="D340" s="521"/>
      <c r="E340" s="522"/>
      <c r="K340" s="658"/>
      <c r="L340" s="665"/>
    </row>
    <row r="341" spans="1:31" x14ac:dyDescent="0.25">
      <c r="A341" s="519"/>
      <c r="B341" s="657" t="s">
        <v>679</v>
      </c>
      <c r="C341" s="525"/>
      <c r="D341" s="569">
        <f>'[15]Balance sheet groupings'!D748</f>
        <v>57.264259690000003</v>
      </c>
      <c r="E341" s="412">
        <f>'[15]Balance sheet groupings'!F748</f>
        <v>42.332451702</v>
      </c>
      <c r="F341" s="569">
        <v>41.330191228000004</v>
      </c>
      <c r="G341" s="569"/>
      <c r="H341" s="569"/>
      <c r="I341" s="569"/>
      <c r="J341" s="366"/>
      <c r="K341" s="658"/>
      <c r="L341" s="665"/>
    </row>
    <row r="342" spans="1:31" ht="15" customHeight="1" x14ac:dyDescent="0.25">
      <c r="A342" s="519"/>
      <c r="B342" s="657" t="s">
        <v>680</v>
      </c>
      <c r="C342" s="525"/>
      <c r="D342" s="569">
        <f>'[15]Balance sheet groupings'!D754</f>
        <v>1.300031347</v>
      </c>
      <c r="E342" s="412">
        <f>'[15]Balance sheet groupings'!F754</f>
        <v>0.61250196800000001</v>
      </c>
      <c r="F342" s="569">
        <v>0.20294429400000003</v>
      </c>
      <c r="G342" s="569"/>
      <c r="H342" s="569"/>
      <c r="I342" s="569"/>
      <c r="J342" s="666"/>
      <c r="K342" s="658"/>
      <c r="L342" s="665"/>
    </row>
    <row r="343" spans="1:31" x14ac:dyDescent="0.25">
      <c r="A343" s="519"/>
      <c r="B343" s="562" t="s">
        <v>681</v>
      </c>
      <c r="C343" s="525"/>
      <c r="D343" s="569">
        <f>+'[15]Balance sheet groupings'!D770</f>
        <v>0.16332019199999998</v>
      </c>
      <c r="E343" s="412">
        <f>+'[15]Balance sheet groupings'!F770</f>
        <v>9.8194741000000002E-2</v>
      </c>
      <c r="F343" s="569">
        <v>0.106127629</v>
      </c>
      <c r="G343" s="569"/>
      <c r="H343" s="569"/>
      <c r="I343" s="569"/>
      <c r="J343" s="366"/>
    </row>
    <row r="344" spans="1:31" ht="15" customHeight="1" x14ac:dyDescent="0.25">
      <c r="A344" s="519"/>
      <c r="B344" s="657" t="s">
        <v>682</v>
      </c>
      <c r="C344" s="525"/>
      <c r="D344" s="569">
        <f>'[15]Balance sheet groupings'!D806</f>
        <v>78.035198754999996</v>
      </c>
      <c r="E344" s="412">
        <f>'[15]Balance sheet groupings'!F806</f>
        <v>57.491849813999998</v>
      </c>
      <c r="F344" s="569">
        <v>34.958485046999996</v>
      </c>
      <c r="G344" s="569"/>
      <c r="H344" s="569"/>
      <c r="I344" s="569"/>
      <c r="J344" s="666"/>
    </row>
    <row r="345" spans="1:31" ht="15" customHeight="1" x14ac:dyDescent="0.25">
      <c r="A345" s="519"/>
      <c r="B345" s="657" t="s">
        <v>683</v>
      </c>
      <c r="C345" s="525"/>
      <c r="D345" s="569">
        <f>'[15]Balance sheet groupings'!D810</f>
        <v>0.14219699999999999</v>
      </c>
      <c r="E345" s="412">
        <f>'[15]Balance sheet groupings'!F810</f>
        <v>0.13512250000000001</v>
      </c>
      <c r="F345" s="569">
        <v>0.12963820000000001</v>
      </c>
      <c r="G345" s="569"/>
      <c r="H345" s="569"/>
      <c r="I345" s="569"/>
      <c r="J345" s="666"/>
    </row>
    <row r="346" spans="1:31" ht="15" customHeight="1" x14ac:dyDescent="0.25">
      <c r="A346" s="519"/>
      <c r="B346" s="580"/>
      <c r="C346" s="525"/>
      <c r="D346" s="554"/>
      <c r="E346" s="530"/>
      <c r="G346" s="666"/>
      <c r="H346" s="666"/>
      <c r="I346" s="666"/>
      <c r="J346" s="666"/>
    </row>
    <row r="347" spans="1:31" ht="15.75" thickBot="1" x14ac:dyDescent="0.3">
      <c r="A347" s="519"/>
      <c r="B347" s="564" t="s">
        <v>591</v>
      </c>
      <c r="C347" s="525"/>
      <c r="D347" s="572">
        <f>+SUM(D338:D346)</f>
        <v>154.90500698400001</v>
      </c>
      <c r="E347" s="573">
        <f t="shared" ref="E347:F347" si="28">+SUM(E338:E346)</f>
        <v>182.35702072499998</v>
      </c>
      <c r="F347" s="390">
        <f t="shared" si="28"/>
        <v>113.63238639800001</v>
      </c>
      <c r="G347" s="390"/>
      <c r="H347" s="390"/>
      <c r="I347" s="390"/>
      <c r="J347" s="546"/>
    </row>
    <row r="348" spans="1:31" ht="15.75" thickTop="1" x14ac:dyDescent="0.25">
      <c r="A348" s="519"/>
      <c r="B348" s="564"/>
      <c r="C348" s="525"/>
      <c r="D348" s="521"/>
      <c r="E348" s="522"/>
    </row>
    <row r="349" spans="1:31" x14ac:dyDescent="0.25">
      <c r="A349" s="519">
        <v>21</v>
      </c>
      <c r="B349" s="568" t="s">
        <v>684</v>
      </c>
      <c r="C349" s="525"/>
      <c r="D349" s="521"/>
      <c r="E349" s="522"/>
      <c r="AE349" s="243">
        <f>+A349</f>
        <v>21</v>
      </c>
    </row>
    <row r="350" spans="1:31" x14ac:dyDescent="0.25">
      <c r="A350" s="519"/>
      <c r="B350" s="657" t="s">
        <v>210</v>
      </c>
      <c r="C350" s="525"/>
      <c r="D350" s="569">
        <f>'[15]Balance sheet groupings'!D815</f>
        <v>117.16416536000008</v>
      </c>
      <c r="E350" s="412">
        <f>'[15]Balance sheet groupings'!F815</f>
        <v>97.033344397000064</v>
      </c>
      <c r="F350" s="569">
        <v>118.53987642799996</v>
      </c>
      <c r="G350" s="569"/>
      <c r="H350" s="569"/>
      <c r="I350" s="569"/>
      <c r="J350" s="366"/>
    </row>
    <row r="351" spans="1:31" x14ac:dyDescent="0.25">
      <c r="A351" s="519"/>
      <c r="B351" s="657" t="s">
        <v>647</v>
      </c>
      <c r="C351" s="525"/>
      <c r="D351" s="569">
        <f>'[15]Balance sheet groupings'!D816</f>
        <v>165.47962041200003</v>
      </c>
      <c r="E351" s="412">
        <f>'[15]Balance sheet groupings'!F816</f>
        <v>142.04039931199998</v>
      </c>
      <c r="F351" s="569">
        <v>146.68159984199997</v>
      </c>
      <c r="G351" s="569"/>
      <c r="H351" s="569"/>
      <c r="I351" s="569"/>
      <c r="J351" s="366"/>
    </row>
    <row r="352" spans="1:31" ht="15.75" thickBot="1" x14ac:dyDescent="0.3">
      <c r="A352" s="519"/>
      <c r="B352" s="564" t="s">
        <v>591</v>
      </c>
      <c r="C352" s="525"/>
      <c r="D352" s="572">
        <f>+SUM(D350:D351)</f>
        <v>282.64378577200011</v>
      </c>
      <c r="E352" s="573">
        <f>+SUM(E350:E351)</f>
        <v>239.07374370900004</v>
      </c>
      <c r="F352" s="390">
        <f>+SUM(F350:F351)</f>
        <v>265.22147626999993</v>
      </c>
      <c r="G352" s="390"/>
      <c r="H352" s="390"/>
      <c r="I352" s="390"/>
      <c r="J352" s="546"/>
    </row>
    <row r="353" spans="1:31" ht="15.75" thickTop="1" x14ac:dyDescent="0.25">
      <c r="A353" s="581"/>
      <c r="B353" s="582"/>
      <c r="C353" s="583"/>
      <c r="D353" s="531"/>
      <c r="E353" s="667"/>
      <c r="F353" s="554"/>
      <c r="G353" s="366"/>
      <c r="H353" s="366"/>
      <c r="I353" s="366"/>
      <c r="J353" s="366"/>
    </row>
    <row r="354" spans="1:31" ht="16.5" customHeight="1" thickBot="1" x14ac:dyDescent="0.3">
      <c r="A354" s="668"/>
      <c r="B354" s="669" t="s">
        <v>685</v>
      </c>
      <c r="C354" s="669"/>
      <c r="D354" s="669"/>
      <c r="E354" s="670" t="s">
        <v>686</v>
      </c>
    </row>
    <row r="355" spans="1:31" x14ac:dyDescent="0.25">
      <c r="A355" s="668"/>
      <c r="B355" s="671"/>
      <c r="C355" s="672"/>
      <c r="D355" s="673" t="str">
        <f>+D78</f>
        <v xml:space="preserve">2023-24 </v>
      </c>
      <c r="E355" s="674" t="str">
        <f>+E78</f>
        <v>2022-23 (RESTATED)</v>
      </c>
    </row>
    <row r="356" spans="1:31" x14ac:dyDescent="0.25">
      <c r="A356" s="668">
        <v>22</v>
      </c>
      <c r="B356" s="675" t="s">
        <v>687</v>
      </c>
      <c r="C356" s="560"/>
      <c r="D356" s="569"/>
      <c r="E356" s="676"/>
      <c r="AE356" s="243">
        <f>+A356</f>
        <v>22</v>
      </c>
    </row>
    <row r="357" spans="1:31" ht="15.75" customHeight="1" x14ac:dyDescent="0.25">
      <c r="A357" s="644"/>
      <c r="B357" s="677" t="s">
        <v>688</v>
      </c>
      <c r="C357" s="560"/>
      <c r="D357" s="569">
        <f>'[15]Profit &amp; Loss Grouping'!E24-D358</f>
        <v>30598.490336609007</v>
      </c>
      <c r="E357" s="412">
        <f>'[15]Profit &amp; Loss Grouping'!G24-E358</f>
        <v>24105.460510142002</v>
      </c>
    </row>
    <row r="358" spans="1:31" ht="15.75" customHeight="1" x14ac:dyDescent="0.25">
      <c r="A358" s="644"/>
      <c r="B358" s="677" t="s">
        <v>689</v>
      </c>
      <c r="C358" s="560"/>
      <c r="D358" s="569">
        <f>'[15]Profit &amp; Loss Grouping'!D19</f>
        <v>-925.14309129899993</v>
      </c>
      <c r="E358" s="412">
        <f>'[15]Profit &amp; Loss Grouping'!F19</f>
        <v>4782.3322485070003</v>
      </c>
    </row>
    <row r="359" spans="1:31" ht="15.75" thickBot="1" x14ac:dyDescent="0.3">
      <c r="A359" s="644"/>
      <c r="B359" s="248" t="s">
        <v>591</v>
      </c>
      <c r="C359" s="560"/>
      <c r="D359" s="572">
        <f>SUM(D357:D358)</f>
        <v>29673.347245310008</v>
      </c>
      <c r="E359" s="573">
        <f>SUM(E357:E358)</f>
        <v>28887.792758649004</v>
      </c>
    </row>
    <row r="360" spans="1:31" ht="21" customHeight="1" thickTop="1" x14ac:dyDescent="0.25">
      <c r="A360" s="644">
        <v>23</v>
      </c>
      <c r="B360" s="675" t="s">
        <v>690</v>
      </c>
      <c r="C360" s="560"/>
      <c r="D360" s="569"/>
      <c r="E360" s="412"/>
      <c r="AE360" s="243">
        <f>+A360</f>
        <v>23</v>
      </c>
    </row>
    <row r="361" spans="1:31" x14ac:dyDescent="0.25">
      <c r="A361" s="644"/>
      <c r="B361" s="631"/>
      <c r="C361" s="560"/>
      <c r="D361" s="569"/>
      <c r="E361" s="412"/>
    </row>
    <row r="362" spans="1:31" x14ac:dyDescent="0.25">
      <c r="A362" s="644"/>
      <c r="B362" s="631" t="s">
        <v>691</v>
      </c>
      <c r="C362" s="560"/>
      <c r="D362" s="569">
        <f>'[15]Profit &amp; Loss Grouping'!E28</f>
        <v>184.70916178499999</v>
      </c>
      <c r="E362" s="412">
        <f>'[15]Profit &amp; Loss Grouping'!G28</f>
        <v>117.87754211099998</v>
      </c>
    </row>
    <row r="363" spans="1:31" x14ac:dyDescent="0.25">
      <c r="A363" s="644"/>
      <c r="B363" s="631" t="s">
        <v>692</v>
      </c>
      <c r="C363" s="560"/>
      <c r="D363" s="569">
        <f>+'[15]Profit &amp; Loss Grouping'!E29</f>
        <v>218.563669616</v>
      </c>
      <c r="E363" s="412">
        <f>+'[15]Profit &amp; Loss Grouping'!G29</f>
        <v>116.40306378199999</v>
      </c>
    </row>
    <row r="364" spans="1:31" x14ac:dyDescent="0.25">
      <c r="A364" s="644"/>
      <c r="B364" s="631" t="s">
        <v>693</v>
      </c>
      <c r="C364" s="560"/>
      <c r="D364" s="569">
        <f>'[15]Profit &amp; Loss Grouping'!E31-D365</f>
        <v>126.337748955</v>
      </c>
      <c r="E364" s="412">
        <f>'[15]Profit &amp; Loss Grouping'!G31-E365</f>
        <v>70.290000000000006</v>
      </c>
    </row>
    <row r="365" spans="1:31" x14ac:dyDescent="0.25">
      <c r="A365" s="644"/>
      <c r="B365" s="631" t="s">
        <v>694</v>
      </c>
      <c r="C365" s="560"/>
      <c r="D365" s="569">
        <v>-126.337748955</v>
      </c>
      <c r="E365" s="412">
        <v>-70.290000000000006</v>
      </c>
    </row>
    <row r="366" spans="1:31" ht="15.75" thickBot="1" x14ac:dyDescent="0.3">
      <c r="A366" s="644"/>
      <c r="B366" s="248" t="s">
        <v>591</v>
      </c>
      <c r="C366" s="560"/>
      <c r="D366" s="572">
        <f>SUM(D361:D365)</f>
        <v>403.27283140099991</v>
      </c>
      <c r="E366" s="573">
        <f>SUM(E361:E365)</f>
        <v>234.28060589299997</v>
      </c>
      <c r="M366" s="241">
        <f>+E366-L366</f>
        <v>234.28060589299997</v>
      </c>
    </row>
    <row r="367" spans="1:31" ht="15.75" thickTop="1" x14ac:dyDescent="0.25">
      <c r="A367" s="644">
        <v>24</v>
      </c>
      <c r="B367" s="675" t="s">
        <v>695</v>
      </c>
      <c r="C367" s="560"/>
      <c r="D367" s="554"/>
      <c r="E367" s="530"/>
      <c r="AE367" s="243">
        <f>+A367</f>
        <v>24</v>
      </c>
    </row>
    <row r="368" spans="1:31" ht="15" customHeight="1" x14ac:dyDescent="0.25">
      <c r="A368" s="644"/>
      <c r="B368" s="635" t="s">
        <v>696</v>
      </c>
      <c r="C368" s="560"/>
      <c r="D368" s="554"/>
      <c r="E368" s="530"/>
    </row>
    <row r="369" spans="1:60" x14ac:dyDescent="0.25">
      <c r="A369" s="644"/>
      <c r="B369" s="631" t="s">
        <v>697</v>
      </c>
      <c r="C369" s="560"/>
      <c r="D369" s="569">
        <f>'[15]Profit &amp; Loss Grouping'!E41</f>
        <v>5.85865E-2</v>
      </c>
      <c r="E369" s="412">
        <f>'[15]Profit &amp; Loss Grouping'!G41</f>
        <v>0.22902478000000004</v>
      </c>
    </row>
    <row r="370" spans="1:60" ht="15" hidden="1" customHeight="1" x14ac:dyDescent="0.25">
      <c r="A370" s="644"/>
      <c r="B370" s="631" t="s">
        <v>698</v>
      </c>
      <c r="C370" s="560"/>
      <c r="D370" s="569"/>
      <c r="E370" s="412"/>
    </row>
    <row r="371" spans="1:60" ht="15" hidden="1" customHeight="1" x14ac:dyDescent="0.25">
      <c r="A371" s="644"/>
      <c r="B371" s="631" t="s">
        <v>699</v>
      </c>
      <c r="C371" s="560"/>
      <c r="D371" s="569"/>
      <c r="E371" s="412"/>
    </row>
    <row r="372" spans="1:60" ht="15" hidden="1" customHeight="1" x14ac:dyDescent="0.25">
      <c r="A372" s="644"/>
      <c r="B372" s="631"/>
      <c r="C372" s="560"/>
      <c r="D372" s="569"/>
      <c r="E372" s="412"/>
    </row>
    <row r="373" spans="1:60" ht="15" hidden="1" customHeight="1" x14ac:dyDescent="0.25">
      <c r="A373" s="644"/>
      <c r="B373" s="631"/>
      <c r="C373" s="560"/>
      <c r="D373" s="569"/>
      <c r="E373" s="412"/>
    </row>
    <row r="374" spans="1:60" x14ac:dyDescent="0.25">
      <c r="A374" s="644"/>
      <c r="B374" s="633" t="s">
        <v>591</v>
      </c>
      <c r="C374" s="678"/>
      <c r="D374" s="679">
        <f>SUM(D369:D373)</f>
        <v>5.85865E-2</v>
      </c>
      <c r="E374" s="449">
        <f>SUM(E369:E373)</f>
        <v>0.22902478000000004</v>
      </c>
    </row>
    <row r="375" spans="1:60" x14ac:dyDescent="0.25">
      <c r="A375" s="644"/>
      <c r="B375" s="631" t="s">
        <v>700</v>
      </c>
      <c r="C375" s="678"/>
      <c r="D375" s="569">
        <f>'[15]Profit &amp; Loss Grouping'!E42</f>
        <v>2674.1801744999998</v>
      </c>
      <c r="E375" s="412">
        <f>'[15]Profit &amp; Loss Grouping'!G42</f>
        <v>3949.250313</v>
      </c>
      <c r="G375" s="348"/>
      <c r="H375" s="348"/>
      <c r="I375" s="348"/>
    </row>
    <row r="376" spans="1:60" x14ac:dyDescent="0.25">
      <c r="A376" s="644"/>
      <c r="B376" s="631" t="s">
        <v>701</v>
      </c>
      <c r="C376" s="560"/>
      <c r="D376" s="569">
        <f>'[15]Profit &amp; Loss Grouping'!E60</f>
        <v>144.66125667700001</v>
      </c>
      <c r="E376" s="412">
        <f>'[15]Profit &amp; Loss Grouping'!G60</f>
        <v>1.6363926129999999</v>
      </c>
    </row>
    <row r="377" spans="1:60" x14ac:dyDescent="0.25">
      <c r="A377" s="644"/>
      <c r="B377" s="631" t="s">
        <v>702</v>
      </c>
      <c r="C377" s="560"/>
      <c r="D377" s="569">
        <f>'[15]Profit &amp; Loss Grouping'!E52</f>
        <v>4.524508934</v>
      </c>
      <c r="E377" s="412">
        <f>'[15]Profit &amp; Loss Grouping'!G52</f>
        <v>4.4345818419999992</v>
      </c>
      <c r="F377" s="518"/>
      <c r="G377" s="574"/>
      <c r="H377" s="574"/>
      <c r="I377" s="574"/>
      <c r="J377" s="266"/>
      <c r="L377" s="680"/>
    </row>
    <row r="378" spans="1:60" s="242" customFormat="1" x14ac:dyDescent="0.25">
      <c r="A378" s="644"/>
      <c r="B378" s="631" t="s">
        <v>703</v>
      </c>
      <c r="C378" s="560"/>
      <c r="D378" s="569">
        <f>'[15]Profit &amp; Loss Grouping'!E62</f>
        <v>21.564345992</v>
      </c>
      <c r="E378" s="412">
        <f>'[15]Profit &amp; Loss Grouping'!G62</f>
        <v>31.438449506999998</v>
      </c>
      <c r="F378" s="355"/>
      <c r="G378" s="243"/>
      <c r="H378" s="243"/>
      <c r="I378" s="243"/>
      <c r="J378" s="243"/>
      <c r="K378" s="250"/>
      <c r="L378" s="241"/>
      <c r="M378" s="241"/>
      <c r="AE378" s="243"/>
      <c r="AF378" s="243"/>
      <c r="AG378" s="243"/>
      <c r="AH378" s="243"/>
      <c r="AI378" s="243"/>
      <c r="AJ378" s="243"/>
      <c r="AK378" s="243"/>
      <c r="AL378" s="243"/>
      <c r="AM378" s="243"/>
      <c r="AN378" s="243"/>
      <c r="AO378" s="243"/>
      <c r="AP378" s="243"/>
      <c r="AQ378" s="243"/>
      <c r="AR378" s="243"/>
      <c r="AS378" s="243"/>
      <c r="AT378" s="243"/>
      <c r="AU378" s="243"/>
      <c r="AV378" s="243"/>
      <c r="AW378" s="243"/>
      <c r="AX378" s="243"/>
      <c r="AY378" s="243"/>
      <c r="AZ378" s="243"/>
      <c r="BA378" s="243"/>
      <c r="BB378" s="243"/>
      <c r="BC378" s="243"/>
      <c r="BD378" s="243"/>
      <c r="BE378" s="243"/>
      <c r="BF378" s="243"/>
      <c r="BG378" s="243"/>
      <c r="BH378" s="243"/>
    </row>
    <row r="379" spans="1:60" x14ac:dyDescent="0.25">
      <c r="A379" s="644"/>
      <c r="B379" s="631" t="s">
        <v>704</v>
      </c>
      <c r="C379" s="560"/>
      <c r="D379" s="569">
        <f>'[15]Profit &amp; Loss Grouping'!E64</f>
        <v>7.0211863999999999E-2</v>
      </c>
      <c r="E379" s="412">
        <f>'[15]Profit &amp; Loss Grouping'!G64</f>
        <v>5.0000000000000001E-3</v>
      </c>
      <c r="F379" s="518"/>
      <c r="G379" s="574"/>
      <c r="H379" s="574"/>
      <c r="I379" s="574"/>
      <c r="J379" s="266"/>
    </row>
    <row r="380" spans="1:60" x14ac:dyDescent="0.25">
      <c r="A380" s="644"/>
      <c r="B380" s="631" t="s">
        <v>705</v>
      </c>
      <c r="C380" s="560"/>
      <c r="D380" s="569">
        <f>'[15]Profit &amp; Loss Grouping'!E65+D460</f>
        <v>18.483775792607958</v>
      </c>
      <c r="E380" s="412">
        <f>'[15]Profit &amp; Loss Grouping'!G65+E459</f>
        <v>86.238595776000011</v>
      </c>
      <c r="G380" s="681"/>
      <c r="H380" s="681"/>
      <c r="I380" s="681"/>
      <c r="J380" s="681"/>
    </row>
    <row r="381" spans="1:60" x14ac:dyDescent="0.25">
      <c r="A381" s="644"/>
      <c r="B381" s="631" t="s">
        <v>706</v>
      </c>
      <c r="C381" s="560"/>
      <c r="D381" s="569">
        <f>'[15]Profit &amp; Loss Grouping'!E66</f>
        <v>147.86826225499999</v>
      </c>
      <c r="E381" s="412">
        <f>'[15]Profit &amp; Loss Grouping'!G66</f>
        <v>127.91627842700002</v>
      </c>
    </row>
    <row r="382" spans="1:60" x14ac:dyDescent="0.25">
      <c r="A382" s="644"/>
      <c r="B382" s="248" t="s">
        <v>591</v>
      </c>
      <c r="C382" s="678"/>
      <c r="D382" s="679">
        <f>SUM(D375:D381)</f>
        <v>3011.3525360146082</v>
      </c>
      <c r="E382" s="449">
        <f>SUM(E375:E381)</f>
        <v>4200.9196111650008</v>
      </c>
    </row>
    <row r="383" spans="1:60" ht="15.75" thickBot="1" x14ac:dyDescent="0.3">
      <c r="A383" s="644"/>
      <c r="B383" s="682" t="s">
        <v>707</v>
      </c>
      <c r="C383" s="678"/>
      <c r="D383" s="683">
        <f>+D374+D382</f>
        <v>3011.411122514608</v>
      </c>
      <c r="E383" s="684">
        <f>+E374+E382</f>
        <v>4201.1486359450009</v>
      </c>
      <c r="F383" s="355">
        <f>1639165956.35/10^7</f>
        <v>163.91659563499999</v>
      </c>
      <c r="G383" s="681"/>
      <c r="H383" s="681"/>
      <c r="I383" s="681"/>
      <c r="J383" s="681"/>
      <c r="L383" s="685">
        <f>+F383-D383</f>
        <v>-2847.4945268796082</v>
      </c>
    </row>
    <row r="384" spans="1:60" ht="15.75" hidden="1" thickTop="1" x14ac:dyDescent="0.25">
      <c r="A384" s="644"/>
      <c r="B384" s="682"/>
      <c r="C384" s="678"/>
      <c r="D384" s="563"/>
      <c r="E384" s="545"/>
      <c r="G384" s="681"/>
      <c r="H384" s="681"/>
      <c r="I384" s="681"/>
      <c r="J384" s="681"/>
      <c r="L384" s="685"/>
    </row>
    <row r="385" spans="1:31" ht="15.75" hidden="1" thickTop="1" x14ac:dyDescent="0.25">
      <c r="A385" s="644" t="s">
        <v>708</v>
      </c>
      <c r="B385" s="682" t="s">
        <v>709</v>
      </c>
      <c r="C385" s="678"/>
      <c r="D385" s="563">
        <v>0</v>
      </c>
      <c r="E385" s="545">
        <v>0</v>
      </c>
      <c r="G385" s="681"/>
      <c r="H385" s="681"/>
      <c r="I385" s="681"/>
      <c r="J385" s="681"/>
      <c r="K385" s="267" t="s">
        <v>710</v>
      </c>
      <c r="L385" s="685"/>
      <c r="AE385" s="686" t="s">
        <v>708</v>
      </c>
    </row>
    <row r="386" spans="1:31" ht="15.75" thickTop="1" x14ac:dyDescent="0.25">
      <c r="A386" s="644"/>
      <c r="B386" s="248"/>
      <c r="C386" s="560"/>
      <c r="D386" s="554"/>
      <c r="E386" s="530"/>
    </row>
    <row r="387" spans="1:31" x14ac:dyDescent="0.25">
      <c r="A387" s="644">
        <v>25</v>
      </c>
      <c r="B387" s="675" t="s">
        <v>711</v>
      </c>
      <c r="C387" s="560"/>
      <c r="D387" s="554"/>
      <c r="E387" s="530"/>
      <c r="AE387" s="686">
        <v>25</v>
      </c>
    </row>
    <row r="388" spans="1:31" x14ac:dyDescent="0.25">
      <c r="A388" s="644"/>
      <c r="B388" s="631" t="s">
        <v>712</v>
      </c>
      <c r="C388" s="560"/>
      <c r="D388" s="569">
        <f>'[15]Profit &amp; Loss Grouping'!E85</f>
        <v>20050.547405182002</v>
      </c>
      <c r="E388" s="412">
        <f>'[15]Profit &amp; Loss Grouping'!G85</f>
        <v>21404.356731277003</v>
      </c>
      <c r="G388" s="681"/>
      <c r="H388" s="681"/>
      <c r="I388" s="681"/>
      <c r="J388" s="681">
        <f>+D388-E388</f>
        <v>-1353.8093260950009</v>
      </c>
    </row>
    <row r="389" spans="1:31" x14ac:dyDescent="0.25">
      <c r="A389" s="644"/>
      <c r="B389" s="631" t="s">
        <v>713</v>
      </c>
      <c r="C389" s="560"/>
      <c r="D389" s="569">
        <f>+'[15]Profit &amp; Loss Grouping'!E110</f>
        <v>218.38663527800003</v>
      </c>
      <c r="E389" s="412">
        <f>+'[15]Profit &amp; Loss Grouping'!G110</f>
        <v>211.03443160200001</v>
      </c>
      <c r="G389" s="681"/>
      <c r="H389" s="681"/>
      <c r="I389" s="681"/>
      <c r="J389" s="681"/>
    </row>
    <row r="390" spans="1:31" hidden="1" x14ac:dyDescent="0.25">
      <c r="A390" s="687"/>
      <c r="B390" s="688" t="s">
        <v>714</v>
      </c>
      <c r="C390" s="689"/>
      <c r="D390" s="690"/>
      <c r="E390" s="691">
        <v>0</v>
      </c>
      <c r="F390" s="692"/>
      <c r="G390" s="693"/>
      <c r="H390" s="693"/>
      <c r="I390" s="693"/>
      <c r="J390" s="681"/>
    </row>
    <row r="391" spans="1:31" x14ac:dyDescent="0.25">
      <c r="A391" s="644"/>
      <c r="B391" s="631" t="s">
        <v>715</v>
      </c>
      <c r="C391" s="560"/>
      <c r="D391" s="569">
        <f>'[15]Profit &amp; Loss Grouping'!E116</f>
        <v>937.80853076000005</v>
      </c>
      <c r="E391" s="412">
        <f>'[15]Profit &amp; Loss Grouping'!G116</f>
        <v>945.23648727700004</v>
      </c>
      <c r="J391" s="681">
        <f>+D391-E391</f>
        <v>-7.4279565169999842</v>
      </c>
    </row>
    <row r="392" spans="1:31" x14ac:dyDescent="0.25">
      <c r="A392" s="644"/>
      <c r="B392" s="631" t="s">
        <v>716</v>
      </c>
      <c r="C392" s="560"/>
      <c r="D392" s="569">
        <f>'[15]Profit &amp; Loss Grouping'!E120</f>
        <v>456.46779770100011</v>
      </c>
      <c r="E392" s="412">
        <f>'[15]Profit &amp; Loss Grouping'!G120</f>
        <v>822.98541388900003</v>
      </c>
      <c r="J392" s="681">
        <f>+D392-E392</f>
        <v>-366.51761618799992</v>
      </c>
    </row>
    <row r="393" spans="1:31" x14ac:dyDescent="0.25">
      <c r="A393" s="644"/>
      <c r="B393" s="631" t="s">
        <v>717</v>
      </c>
      <c r="C393" s="560"/>
      <c r="D393" s="694">
        <f>'[15]Profit &amp; Loss Grouping'!E131</f>
        <v>456.08801505600002</v>
      </c>
      <c r="E393" s="428">
        <f>'[15]Profit &amp; Loss Grouping'!G131</f>
        <v>325.87194726300004</v>
      </c>
      <c r="J393" s="681">
        <f>+D393-E393</f>
        <v>130.21606779299998</v>
      </c>
    </row>
    <row r="394" spans="1:31" ht="15.75" thickBot="1" x14ac:dyDescent="0.3">
      <c r="A394" s="644"/>
      <c r="B394" s="248" t="s">
        <v>591</v>
      </c>
      <c r="C394" s="560"/>
      <c r="D394" s="683">
        <f>SUM(D388:D393)</f>
        <v>22119.298383977002</v>
      </c>
      <c r="E394" s="684">
        <f>SUM(E388:E393)</f>
        <v>23709.485011308003</v>
      </c>
    </row>
    <row r="395" spans="1:31" ht="15.75" thickTop="1" x14ac:dyDescent="0.25">
      <c r="A395" s="644"/>
      <c r="B395" s="248"/>
      <c r="C395" s="560"/>
      <c r="D395" s="390"/>
      <c r="E395" s="430"/>
    </row>
    <row r="396" spans="1:31" x14ac:dyDescent="0.25">
      <c r="A396" s="695" t="s">
        <v>506</v>
      </c>
      <c r="B396" s="675" t="s">
        <v>505</v>
      </c>
      <c r="C396" s="560"/>
      <c r="D396" s="390"/>
      <c r="E396" s="430"/>
    </row>
    <row r="397" spans="1:31" x14ac:dyDescent="0.25">
      <c r="A397" s="644"/>
      <c r="B397" s="631" t="s">
        <v>718</v>
      </c>
      <c r="C397" s="560"/>
      <c r="D397" s="694">
        <f>+'[15]Profit &amp; Loss Grouping'!E112++'[15]Profit &amp; Loss Grouping'!E114</f>
        <v>555.71690159700006</v>
      </c>
      <c r="E397" s="428">
        <f>+'[15]Profit &amp; Loss Grouping'!G112</f>
        <v>278.2720339</v>
      </c>
      <c r="G397" s="681"/>
      <c r="H397" s="681"/>
      <c r="I397" s="681"/>
      <c r="J397" s="681"/>
    </row>
    <row r="398" spans="1:31" ht="15.75" thickBot="1" x14ac:dyDescent="0.3">
      <c r="A398" s="644"/>
      <c r="B398" s="248"/>
      <c r="C398" s="560"/>
      <c r="D398" s="683">
        <f>D397</f>
        <v>555.71690159700006</v>
      </c>
      <c r="E398" s="684">
        <f>E397</f>
        <v>278.2720339</v>
      </c>
    </row>
    <row r="399" spans="1:31" ht="15.75" thickTop="1" x14ac:dyDescent="0.25">
      <c r="A399" s="644"/>
      <c r="B399" s="248"/>
      <c r="C399" s="560"/>
      <c r="D399" s="554"/>
      <c r="E399" s="530"/>
    </row>
    <row r="400" spans="1:31" x14ac:dyDescent="0.25">
      <c r="A400" s="644">
        <v>26</v>
      </c>
      <c r="B400" s="675" t="s">
        <v>719</v>
      </c>
      <c r="C400" s="560"/>
      <c r="D400" s="554"/>
      <c r="E400" s="530"/>
      <c r="AE400" s="243">
        <f>+A400</f>
        <v>26</v>
      </c>
    </row>
    <row r="401" spans="1:31" x14ac:dyDescent="0.25">
      <c r="A401" s="644"/>
      <c r="B401" s="631" t="s">
        <v>720</v>
      </c>
      <c r="C401" s="696"/>
      <c r="D401" s="569">
        <f>'[15]Profit &amp; Loss Grouping'!E141-D402</f>
        <v>1670.485400584</v>
      </c>
      <c r="E401" s="412">
        <f>'[15]Profit &amp; Loss Grouping'!G141-E402</f>
        <v>1330.49869339</v>
      </c>
      <c r="G401" s="666"/>
      <c r="H401" s="666"/>
      <c r="I401" s="666"/>
    </row>
    <row r="402" spans="1:31" x14ac:dyDescent="0.25">
      <c r="A402" s="644"/>
      <c r="B402" s="631" t="s">
        <v>721</v>
      </c>
      <c r="C402" s="696"/>
      <c r="D402" s="569">
        <f>-(671806191.8/10^7)</f>
        <v>-67.180619179999994</v>
      </c>
      <c r="E402" s="412">
        <f>-(621986119.4/10^7)</f>
        <v>-62.198611939999999</v>
      </c>
      <c r="G402" s="666"/>
      <c r="H402" s="666"/>
      <c r="I402" s="666"/>
    </row>
    <row r="403" spans="1:31" x14ac:dyDescent="0.25">
      <c r="A403" s="644"/>
      <c r="B403" s="631" t="s">
        <v>722</v>
      </c>
      <c r="C403" s="696"/>
      <c r="D403" s="569">
        <f>'[15]Profit &amp; Loss Grouping'!E159</f>
        <v>123.8299155</v>
      </c>
      <c r="E403" s="412">
        <f>'[15]Profit &amp; Loss Grouping'!G159</f>
        <v>123.9564458</v>
      </c>
    </row>
    <row r="404" spans="1:31" x14ac:dyDescent="0.25">
      <c r="A404" s="644"/>
      <c r="B404" s="631" t="s">
        <v>723</v>
      </c>
      <c r="C404" s="696"/>
      <c r="D404" s="569">
        <f>'[15]Profit &amp; Loss Grouping'!E160</f>
        <v>434.952790123</v>
      </c>
      <c r="E404" s="412">
        <f>'[15]Profit &amp; Loss Grouping'!G160</f>
        <v>214.22030843100001</v>
      </c>
      <c r="F404" s="518">
        <f>+D404-E404</f>
        <v>220.73248169199999</v>
      </c>
      <c r="G404" s="574"/>
      <c r="H404" s="574"/>
      <c r="I404" s="574"/>
      <c r="J404" s="266"/>
      <c r="L404" s="680"/>
    </row>
    <row r="405" spans="1:31" x14ac:dyDescent="0.25">
      <c r="A405" s="644"/>
      <c r="B405" s="631" t="s">
        <v>724</v>
      </c>
      <c r="C405" s="696"/>
      <c r="D405" s="694">
        <f>'[15]Profit &amp; Loss Grouping'!E168</f>
        <v>94.973433843999999</v>
      </c>
      <c r="E405" s="428">
        <f>'[15]Profit &amp; Loss Grouping'!G168</f>
        <v>100.480688606</v>
      </c>
      <c r="F405" s="518">
        <f>+D405-E405</f>
        <v>-5.5072547620000023</v>
      </c>
      <c r="G405" s="574"/>
      <c r="H405" s="574"/>
      <c r="I405" s="574"/>
      <c r="J405" s="266"/>
      <c r="L405" s="680"/>
    </row>
    <row r="406" spans="1:31" ht="15.75" thickBot="1" x14ac:dyDescent="0.3">
      <c r="A406" s="644"/>
      <c r="B406" s="248" t="s">
        <v>591</v>
      </c>
      <c r="C406" s="560"/>
      <c r="D406" s="683">
        <f>SUM(D401:D405)</f>
        <v>2257.0609208709998</v>
      </c>
      <c r="E406" s="684">
        <f>SUM(E401:E405)</f>
        <v>1706.9575242869998</v>
      </c>
      <c r="F406" s="518"/>
      <c r="G406" s="574"/>
      <c r="H406" s="574"/>
      <c r="I406" s="574"/>
      <c r="J406" s="266"/>
      <c r="L406" s="680"/>
    </row>
    <row r="407" spans="1:31" ht="15.75" thickTop="1" x14ac:dyDescent="0.25">
      <c r="A407" s="695" t="s">
        <v>725</v>
      </c>
      <c r="B407" s="675" t="s">
        <v>726</v>
      </c>
      <c r="C407" s="560"/>
      <c r="D407" s="554"/>
      <c r="E407" s="530"/>
      <c r="F407" s="518"/>
      <c r="G407" s="574"/>
      <c r="H407" s="574"/>
      <c r="I407" s="574"/>
      <c r="J407" s="266"/>
      <c r="L407" s="680"/>
      <c r="AE407" s="243" t="str">
        <f>+A407</f>
        <v>26A</v>
      </c>
    </row>
    <row r="408" spans="1:31" x14ac:dyDescent="0.25">
      <c r="A408" s="644"/>
      <c r="B408" s="631" t="s">
        <v>727</v>
      </c>
      <c r="C408" s="560"/>
      <c r="D408" s="569">
        <f>+'[15]Profit &amp; Loss Grouping'!E194</f>
        <v>171.61805000000001</v>
      </c>
      <c r="E408" s="412">
        <f>+'[15]Profit &amp; Loss Grouping'!G194</f>
        <v>19.753063399999998</v>
      </c>
      <c r="F408" s="518"/>
      <c r="G408" s="574"/>
      <c r="H408" s="574"/>
      <c r="I408" s="574"/>
      <c r="J408" s="266"/>
      <c r="L408" s="680"/>
    </row>
    <row r="409" spans="1:31" ht="16.5" customHeight="1" x14ac:dyDescent="0.25">
      <c r="A409" s="644"/>
      <c r="B409" s="248"/>
      <c r="C409" s="560"/>
      <c r="D409" s="390"/>
      <c r="E409" s="430"/>
      <c r="F409" s="518"/>
      <c r="G409" s="574"/>
      <c r="H409" s="574"/>
      <c r="I409" s="574"/>
      <c r="J409" s="266"/>
      <c r="L409" s="680"/>
    </row>
    <row r="410" spans="1:31" x14ac:dyDescent="0.25">
      <c r="A410" s="644">
        <v>27</v>
      </c>
      <c r="B410" s="675" t="s">
        <v>104</v>
      </c>
      <c r="C410" s="560"/>
      <c r="D410" s="569"/>
      <c r="E410" s="412"/>
      <c r="AE410" s="243">
        <f>+A410</f>
        <v>27</v>
      </c>
    </row>
    <row r="411" spans="1:31" x14ac:dyDescent="0.25">
      <c r="A411" s="644"/>
      <c r="B411" s="631" t="s">
        <v>728</v>
      </c>
      <c r="C411" s="560"/>
      <c r="D411" s="569">
        <f>'[15]Profit &amp; Loss Grouping'!E212</f>
        <v>327.61980563499998</v>
      </c>
      <c r="E411" s="412">
        <f>'[15]Profit &amp; Loss Grouping'!G212</f>
        <v>331.19554014899995</v>
      </c>
    </row>
    <row r="412" spans="1:31" x14ac:dyDescent="0.25">
      <c r="A412" s="644"/>
      <c r="B412" s="631" t="s">
        <v>729</v>
      </c>
      <c r="C412" s="560"/>
      <c r="D412" s="569">
        <f>'[15]Profit &amp; Loss Grouping'!E197-D414-D415-D413</f>
        <v>3006.0055368620006</v>
      </c>
      <c r="E412" s="412">
        <f>'[15]Profit &amp; Loss Grouping'!G197-E414-E415-E413</f>
        <v>2857.9896250830006</v>
      </c>
      <c r="G412" s="476"/>
      <c r="H412" s="476"/>
      <c r="I412" s="476"/>
      <c r="J412" s="666"/>
    </row>
    <row r="413" spans="1:31" x14ac:dyDescent="0.25">
      <c r="A413" s="644"/>
      <c r="B413" s="631" t="s">
        <v>730</v>
      </c>
      <c r="C413" s="560"/>
      <c r="D413" s="569">
        <f>'[15]Profit &amp; Loss Grouping'!D199</f>
        <v>688.52717658300003</v>
      </c>
      <c r="E413" s="412">
        <f>'[15]Profit &amp; Loss Grouping'!F199</f>
        <v>627.01818824500003</v>
      </c>
      <c r="G413" s="476"/>
      <c r="H413" s="476"/>
      <c r="I413" s="476"/>
      <c r="J413" s="666"/>
    </row>
    <row r="414" spans="1:31" ht="29.25" x14ac:dyDescent="0.25">
      <c r="A414" s="644"/>
      <c r="B414" s="697" t="s">
        <v>731</v>
      </c>
      <c r="C414" s="560"/>
      <c r="D414" s="569">
        <f>75039463/10^7</f>
        <v>7.5039463</v>
      </c>
      <c r="E414" s="412">
        <v>26.2301672</v>
      </c>
      <c r="K414" s="267">
        <v>174200286</v>
      </c>
    </row>
    <row r="415" spans="1:31" ht="15" customHeight="1" x14ac:dyDescent="0.25">
      <c r="A415" s="644"/>
      <c r="B415" s="631" t="s">
        <v>732</v>
      </c>
      <c r="C415" s="560"/>
      <c r="D415" s="569">
        <f>-4351596227/10^7</f>
        <v>-435.1596227</v>
      </c>
      <c r="E415" s="412">
        <f>-359.1434746-23.0403901</f>
        <v>-382.18386470000002</v>
      </c>
      <c r="H415" s="243">
        <f>427.2</f>
        <v>427.2</v>
      </c>
      <c r="L415" s="698"/>
    </row>
    <row r="416" spans="1:31" x14ac:dyDescent="0.25">
      <c r="A416" s="644"/>
      <c r="B416" s="631" t="s">
        <v>733</v>
      </c>
      <c r="C416" s="560"/>
      <c r="D416" s="694">
        <f>'[15]Profit &amp; Loss Grouping'!E214</f>
        <v>16.444166872</v>
      </c>
      <c r="E416" s="428">
        <v>9.8601437020000002</v>
      </c>
    </row>
    <row r="417" spans="1:31" ht="15.75" thickBot="1" x14ac:dyDescent="0.3">
      <c r="A417" s="699"/>
      <c r="B417" s="700" t="s">
        <v>591</v>
      </c>
      <c r="C417" s="622"/>
      <c r="D417" s="572">
        <f>SUM(D411:D416)</f>
        <v>3610.9410095520002</v>
      </c>
      <c r="E417" s="573">
        <f>SUM(E411:E416)</f>
        <v>3470.1097996790008</v>
      </c>
      <c r="G417" s="701"/>
      <c r="L417" s="698"/>
    </row>
    <row r="418" spans="1:31" ht="15.75" hidden="1" customHeight="1" x14ac:dyDescent="0.25">
      <c r="A418" s="558"/>
      <c r="B418" s="702"/>
      <c r="C418" s="702"/>
      <c r="D418" s="702"/>
      <c r="E418" s="703"/>
      <c r="L418" s="698"/>
    </row>
    <row r="419" spans="1:31" ht="21.75" customHeight="1" thickTop="1" x14ac:dyDescent="0.25">
      <c r="A419" s="704">
        <v>28</v>
      </c>
      <c r="B419" s="705" t="s">
        <v>734</v>
      </c>
      <c r="C419" s="706"/>
      <c r="D419" s="707"/>
      <c r="E419" s="708"/>
      <c r="L419" s="698"/>
      <c r="AE419" s="243">
        <f>+A419</f>
        <v>28</v>
      </c>
    </row>
    <row r="420" spans="1:31" x14ac:dyDescent="0.25">
      <c r="A420" s="558"/>
      <c r="B420" s="709" t="s">
        <v>735</v>
      </c>
      <c r="C420" s="560"/>
      <c r="D420" s="569">
        <f>'[15]Profit &amp; Loss Grouping'!E224</f>
        <v>1.1747913679999999</v>
      </c>
      <c r="E420" s="412">
        <f>'[15]Profit &amp; Loss Grouping'!G224</f>
        <v>1.7107022679999999</v>
      </c>
      <c r="F420" s="355">
        <f>+D420-E420</f>
        <v>-0.53591089999999997</v>
      </c>
      <c r="G420" s="476"/>
      <c r="H420" s="476"/>
      <c r="I420" s="476"/>
      <c r="L420" s="698"/>
    </row>
    <row r="421" spans="1:31" x14ac:dyDescent="0.25">
      <c r="A421" s="558"/>
      <c r="B421" s="709" t="s">
        <v>736</v>
      </c>
      <c r="C421" s="560"/>
      <c r="D421" s="569">
        <f>'[15]Profit &amp; Loss Grouping'!E225</f>
        <v>81.428250000000006</v>
      </c>
      <c r="E421" s="412">
        <f>'[15]Profit &amp; Loss Grouping'!G225</f>
        <v>82.875600000000006</v>
      </c>
      <c r="F421" s="355">
        <f>+D421-E421</f>
        <v>-1.4473500000000001</v>
      </c>
      <c r="G421" s="476"/>
      <c r="H421" s="476"/>
      <c r="I421" s="476"/>
      <c r="L421" s="698"/>
    </row>
    <row r="422" spans="1:31" x14ac:dyDescent="0.25">
      <c r="A422" s="558"/>
      <c r="B422" s="710" t="s">
        <v>737</v>
      </c>
      <c r="C422" s="560"/>
      <c r="D422" s="569"/>
      <c r="E422" s="412"/>
    </row>
    <row r="423" spans="1:31" x14ac:dyDescent="0.25">
      <c r="A423" s="558"/>
      <c r="B423" s="709" t="s">
        <v>738</v>
      </c>
      <c r="C423" s="560"/>
      <c r="D423" s="569">
        <f>'[15]Profit &amp; Loss Grouping'!E227</f>
        <v>1569.2609407279999</v>
      </c>
      <c r="E423" s="412">
        <f>'[15]Profit &amp; Loss Grouping'!G227</f>
        <v>1527.900578455</v>
      </c>
      <c r="F423" s="355">
        <f t="shared" ref="F423:F435" si="29">+D423-E423</f>
        <v>41.360362272999964</v>
      </c>
      <c r="G423" s="476"/>
      <c r="H423" s="476"/>
      <c r="I423" s="476"/>
    </row>
    <row r="424" spans="1:31" x14ac:dyDescent="0.25">
      <c r="A424" s="558"/>
      <c r="B424" s="709" t="s">
        <v>739</v>
      </c>
      <c r="C424" s="560"/>
      <c r="D424" s="569">
        <f>'[15]Profit &amp; Loss Grouping'!E236</f>
        <v>0.48867130199999997</v>
      </c>
      <c r="E424" s="412">
        <f>'[15]Profit &amp; Loss Grouping'!G236</f>
        <v>0.76706291599999998</v>
      </c>
      <c r="F424" s="355">
        <f t="shared" si="29"/>
        <v>-0.27839161400000001</v>
      </c>
      <c r="G424" s="476"/>
      <c r="H424" s="476"/>
      <c r="I424" s="476"/>
    </row>
    <row r="425" spans="1:31" x14ac:dyDescent="0.25">
      <c r="A425" s="558"/>
      <c r="B425" s="709" t="s">
        <v>740</v>
      </c>
      <c r="C425" s="560"/>
      <c r="D425" s="569">
        <f>'[15]Profit &amp; Loss Grouping'!E243</f>
        <v>26.421654663999998</v>
      </c>
      <c r="E425" s="412">
        <f>'[15]Profit &amp; Loss Grouping'!G243</f>
        <v>26.221091080999997</v>
      </c>
      <c r="F425" s="355">
        <f t="shared" si="29"/>
        <v>0.20056358300000099</v>
      </c>
      <c r="G425" s="476"/>
      <c r="H425" s="476"/>
      <c r="I425" s="476"/>
    </row>
    <row r="426" spans="1:31" x14ac:dyDescent="0.25">
      <c r="A426" s="558"/>
      <c r="B426" s="709" t="s">
        <v>741</v>
      </c>
      <c r="C426" s="560"/>
      <c r="D426" s="569">
        <f>'[15]Profit &amp; Loss Grouping'!E247</f>
        <v>37.368373397000006</v>
      </c>
      <c r="E426" s="412">
        <f>'[15]Profit &amp; Loss Grouping'!G247</f>
        <v>51.636109961999999</v>
      </c>
      <c r="F426" s="355">
        <f t="shared" si="29"/>
        <v>-14.267736564999993</v>
      </c>
      <c r="G426" s="476"/>
      <c r="H426" s="476"/>
      <c r="I426" s="476"/>
    </row>
    <row r="427" spans="1:31" x14ac:dyDescent="0.25">
      <c r="A427" s="558"/>
      <c r="B427" s="709" t="s">
        <v>742</v>
      </c>
      <c r="C427" s="696"/>
      <c r="D427" s="569">
        <f>'[15]Profit &amp; Loss Grouping'!E249</f>
        <v>12.276476469000002</v>
      </c>
      <c r="E427" s="412">
        <f>'[15]Profit &amp; Loss Grouping'!G249</f>
        <v>28.635460676000001</v>
      </c>
      <c r="F427" s="355">
        <f t="shared" si="29"/>
        <v>-16.358984206999999</v>
      </c>
      <c r="G427" s="476"/>
      <c r="H427" s="476"/>
      <c r="I427" s="476"/>
    </row>
    <row r="428" spans="1:31" x14ac:dyDescent="0.25">
      <c r="A428" s="558"/>
      <c r="B428" s="709" t="s">
        <v>743</v>
      </c>
      <c r="C428" s="696"/>
      <c r="D428" s="569">
        <f>+'[15]Profit &amp; Loss Grouping'!E253</f>
        <v>24.146281619</v>
      </c>
      <c r="E428" s="412">
        <f>+'[15]Profit &amp; Loss Grouping'!G253</f>
        <v>0</v>
      </c>
      <c r="F428" s="355">
        <f t="shared" si="29"/>
        <v>24.146281619</v>
      </c>
      <c r="G428" s="476"/>
      <c r="H428" s="476"/>
      <c r="I428" s="476"/>
    </row>
    <row r="429" spans="1:31" x14ac:dyDescent="0.25">
      <c r="A429" s="558"/>
      <c r="B429" s="709" t="s">
        <v>744</v>
      </c>
      <c r="C429" s="560"/>
      <c r="D429" s="569">
        <f>'[15]Profit &amp; Loss Grouping'!E255</f>
        <v>0.174520801</v>
      </c>
      <c r="E429" s="412">
        <f>'[15]Profit &amp; Loss Grouping'!G255</f>
        <v>0.17906525300000001</v>
      </c>
      <c r="F429" s="355">
        <f t="shared" si="29"/>
        <v>-4.5444520000000044E-3</v>
      </c>
      <c r="G429" s="476"/>
      <c r="H429" s="476"/>
      <c r="I429" s="476"/>
    </row>
    <row r="430" spans="1:31" x14ac:dyDescent="0.25">
      <c r="A430" s="558"/>
      <c r="B430" s="709" t="s">
        <v>745</v>
      </c>
      <c r="C430" s="560"/>
      <c r="D430" s="569">
        <f>'[15]Profit &amp; Loss Grouping'!E257</f>
        <v>48.744779434999991</v>
      </c>
      <c r="E430" s="412">
        <f>'[15]Profit &amp; Loss Grouping'!G257</f>
        <v>39.113139724</v>
      </c>
      <c r="F430" s="355">
        <f t="shared" si="29"/>
        <v>9.6316397109999912</v>
      </c>
      <c r="G430" s="476"/>
      <c r="H430" s="476"/>
      <c r="I430" s="476"/>
    </row>
    <row r="431" spans="1:31" x14ac:dyDescent="0.25">
      <c r="A431" s="558"/>
      <c r="B431" s="709" t="s">
        <v>746</v>
      </c>
      <c r="C431" s="560"/>
      <c r="D431" s="569">
        <f>'[15]Profit &amp; Loss Grouping'!E262</f>
        <v>0</v>
      </c>
      <c r="E431" s="412">
        <f>'[15]Profit &amp; Loss Grouping'!G262</f>
        <v>0</v>
      </c>
      <c r="F431" s="355">
        <f t="shared" si="29"/>
        <v>0</v>
      </c>
      <c r="G431" s="476"/>
      <c r="H431" s="476"/>
      <c r="I431" s="476"/>
    </row>
    <row r="432" spans="1:31" x14ac:dyDescent="0.25">
      <c r="A432" s="558"/>
      <c r="B432" s="709" t="s">
        <v>747</v>
      </c>
      <c r="C432" s="560"/>
      <c r="D432" s="569">
        <f>'[15]Profit &amp; Loss Grouping'!E263</f>
        <v>10.1295114</v>
      </c>
      <c r="E432" s="412">
        <f>'[15]Profit &amp; Loss Grouping'!G263</f>
        <v>18.280990943999999</v>
      </c>
      <c r="F432" s="355">
        <f t="shared" si="29"/>
        <v>-8.151479543999999</v>
      </c>
      <c r="G432" s="476"/>
      <c r="H432" s="476"/>
      <c r="I432" s="476"/>
    </row>
    <row r="433" spans="1:60" x14ac:dyDescent="0.25">
      <c r="A433" s="558"/>
      <c r="B433" s="711" t="s">
        <v>748</v>
      </c>
      <c r="C433" s="276"/>
      <c r="D433" s="569">
        <f>'[15]Profit &amp; Loss Grouping'!E267</f>
        <v>10.056178158</v>
      </c>
      <c r="E433" s="412">
        <f>'[15]Profit &amp; Loss Grouping'!G267</f>
        <v>7.0382001300000008</v>
      </c>
      <c r="F433" s="355">
        <f t="shared" si="29"/>
        <v>3.017978027999999</v>
      </c>
      <c r="G433" s="476"/>
      <c r="H433" s="476"/>
      <c r="I433" s="476"/>
      <c r="J433" s="266"/>
      <c r="L433" s="712"/>
      <c r="M433" s="242"/>
      <c r="N433" s="241"/>
    </row>
    <row r="434" spans="1:60" x14ac:dyDescent="0.25">
      <c r="A434" s="558"/>
      <c r="B434" s="709" t="s">
        <v>749</v>
      </c>
      <c r="C434" s="713"/>
      <c r="D434" s="569">
        <f>'[15]Profit &amp; Loss Grouping'!E268</f>
        <v>47.370661446</v>
      </c>
      <c r="E434" s="412">
        <f>'[15]Profit &amp; Loss Grouping'!G268</f>
        <v>10.746824050000001</v>
      </c>
      <c r="F434" s="355">
        <f t="shared" si="29"/>
        <v>36.623837395999999</v>
      </c>
      <c r="G434" s="476"/>
      <c r="H434" s="476"/>
      <c r="I434" s="476"/>
    </row>
    <row r="435" spans="1:60" hidden="1" x14ac:dyDescent="0.25">
      <c r="A435" s="558"/>
      <c r="B435" s="709" t="s">
        <v>750</v>
      </c>
      <c r="C435" s="713"/>
      <c r="D435" s="569"/>
      <c r="E435" s="412"/>
      <c r="F435" s="355">
        <f t="shared" si="29"/>
        <v>0</v>
      </c>
      <c r="G435" s="476"/>
      <c r="H435" s="476"/>
      <c r="I435" s="476"/>
    </row>
    <row r="436" spans="1:60" s="242" customFormat="1" x14ac:dyDescent="0.25">
      <c r="A436" s="558"/>
      <c r="B436" s="709" t="s">
        <v>751</v>
      </c>
      <c r="C436" s="713"/>
      <c r="D436" s="569">
        <f>'[15]Profit &amp; Loss Grouping'!E270</f>
        <v>162.60806342999999</v>
      </c>
      <c r="E436" s="412">
        <f>'[15]Profit &amp; Loss Grouping'!G270</f>
        <v>142.994912196</v>
      </c>
      <c r="F436" s="355"/>
      <c r="G436" s="476"/>
      <c r="H436" s="476"/>
      <c r="I436" s="476"/>
      <c r="J436" s="243"/>
      <c r="K436" s="250"/>
      <c r="L436" s="241"/>
      <c r="M436" s="241"/>
      <c r="AE436" s="243"/>
      <c r="AF436" s="243"/>
      <c r="AG436" s="243"/>
      <c r="AH436" s="243"/>
      <c r="AI436" s="243"/>
      <c r="AJ436" s="243"/>
      <c r="AK436" s="243"/>
      <c r="AL436" s="243"/>
      <c r="AM436" s="243"/>
      <c r="AN436" s="243"/>
      <c r="AO436" s="243"/>
      <c r="AP436" s="243"/>
      <c r="AQ436" s="243"/>
      <c r="AR436" s="243"/>
      <c r="AS436" s="243"/>
      <c r="AT436" s="243"/>
      <c r="AU436" s="243"/>
      <c r="AV436" s="243"/>
      <c r="AW436" s="243"/>
      <c r="AX436" s="243"/>
      <c r="AY436" s="243"/>
      <c r="AZ436" s="243"/>
      <c r="BA436" s="243"/>
      <c r="BB436" s="243"/>
      <c r="BC436" s="243"/>
      <c r="BD436" s="243"/>
      <c r="BE436" s="243"/>
      <c r="BF436" s="243"/>
      <c r="BG436" s="243"/>
      <c r="BH436" s="243"/>
    </row>
    <row r="437" spans="1:60" x14ac:dyDescent="0.25">
      <c r="A437" s="558"/>
      <c r="B437" s="709" t="s">
        <v>752</v>
      </c>
      <c r="C437" s="713"/>
      <c r="D437" s="569">
        <f>'[15]Profit &amp; Loss Grouping'!E271</f>
        <v>72.163088553999998</v>
      </c>
      <c r="E437" s="412">
        <f>'[15]Profit &amp; Loss Grouping'!G271</f>
        <v>70.190652495999998</v>
      </c>
      <c r="G437" s="476"/>
      <c r="H437" s="476"/>
      <c r="I437" s="476"/>
    </row>
    <row r="438" spans="1:60" x14ac:dyDescent="0.25">
      <c r="A438" s="558"/>
      <c r="B438" s="709" t="s">
        <v>753</v>
      </c>
      <c r="C438" s="713"/>
      <c r="D438" s="569">
        <f>'[15]Profit &amp; Loss Grouping'!E272</f>
        <v>40.774621467999999</v>
      </c>
      <c r="E438" s="412">
        <f>'[15]Profit &amp; Loss Grouping'!G272</f>
        <v>35.740997724000003</v>
      </c>
      <c r="G438" s="476"/>
      <c r="H438" s="476"/>
      <c r="I438" s="476"/>
    </row>
    <row r="439" spans="1:60" x14ac:dyDescent="0.25">
      <c r="A439" s="558"/>
      <c r="B439" s="709" t="s">
        <v>754</v>
      </c>
      <c r="C439" s="713"/>
      <c r="D439" s="569">
        <f>'[15]Profit &amp; Loss Grouping'!E274</f>
        <v>83.284116881999992</v>
      </c>
      <c r="E439" s="412">
        <f>'[15]Profit &amp; Loss Grouping'!G274</f>
        <v>75.007526737999996</v>
      </c>
      <c r="F439" s="355">
        <f>+D439-E439</f>
        <v>8.2765901439999965</v>
      </c>
      <c r="G439" s="476"/>
      <c r="H439" s="476"/>
      <c r="I439" s="476"/>
    </row>
    <row r="440" spans="1:60" x14ac:dyDescent="0.25">
      <c r="A440" s="558"/>
      <c r="B440" s="709" t="s">
        <v>755</v>
      </c>
      <c r="C440" s="713"/>
      <c r="D440" s="569">
        <f>'[15]Profit &amp; Loss Grouping'!E317</f>
        <v>0</v>
      </c>
      <c r="E440" s="412">
        <f>'[15]Profit &amp; Loss Grouping'!G317</f>
        <v>0.29646620099999998</v>
      </c>
      <c r="F440" s="355">
        <f>+D440-E440</f>
        <v>-0.29646620099999998</v>
      </c>
      <c r="G440" s="476"/>
      <c r="H440" s="476"/>
      <c r="I440" s="476"/>
    </row>
    <row r="441" spans="1:60" ht="21" customHeight="1" x14ac:dyDescent="0.25">
      <c r="A441" s="558"/>
      <c r="B441" s="709" t="s">
        <v>756</v>
      </c>
      <c r="C441" s="713"/>
      <c r="D441" s="569">
        <f>'[15]Profit &amp; Loss Grouping'!E318</f>
        <v>1.899663E-3</v>
      </c>
      <c r="E441" s="412">
        <f>'[15]Profit &amp; Loss Grouping'!G318</f>
        <v>5.5115138110000004</v>
      </c>
      <c r="F441" s="355">
        <f>+D441-E441</f>
        <v>-5.5096141480000007</v>
      </c>
      <c r="G441" s="476"/>
      <c r="H441" s="476"/>
      <c r="I441" s="476"/>
    </row>
    <row r="442" spans="1:60" s="242" customFormat="1" x14ac:dyDescent="0.25">
      <c r="A442" s="644"/>
      <c r="B442" s="714" t="s">
        <v>757</v>
      </c>
      <c r="C442" s="560"/>
      <c r="D442" s="569">
        <f>'[15]Profit &amp; Loss Grouping'!E319</f>
        <v>68.784941700000005</v>
      </c>
      <c r="E442" s="412">
        <f>'[15]Profit &amp; Loss Grouping'!G319</f>
        <v>179.08925009999999</v>
      </c>
      <c r="F442" s="355">
        <f>+D442-E442</f>
        <v>-110.30430839999998</v>
      </c>
      <c r="G442" s="476"/>
      <c r="H442" s="476"/>
      <c r="I442" s="476"/>
      <c r="J442" s="243"/>
      <c r="K442" s="250"/>
      <c r="L442" s="241"/>
      <c r="M442" s="241"/>
      <c r="AE442" s="243"/>
      <c r="AF442" s="243"/>
      <c r="AG442" s="243"/>
      <c r="AH442" s="243"/>
      <c r="AI442" s="243"/>
      <c r="AJ442" s="243"/>
      <c r="AK442" s="243"/>
      <c r="AL442" s="243"/>
      <c r="AM442" s="243"/>
      <c r="AN442" s="243"/>
      <c r="AO442" s="243"/>
      <c r="AP442" s="243"/>
      <c r="AQ442" s="243"/>
      <c r="AR442" s="243"/>
      <c r="AS442" s="243"/>
      <c r="AT442" s="243"/>
      <c r="AU442" s="243"/>
      <c r="AV442" s="243"/>
      <c r="AW442" s="243"/>
      <c r="AX442" s="243"/>
      <c r="AY442" s="243"/>
      <c r="AZ442" s="243"/>
      <c r="BA442" s="243"/>
      <c r="BB442" s="243"/>
      <c r="BC442" s="243"/>
      <c r="BD442" s="243"/>
      <c r="BE442" s="243"/>
      <c r="BF442" s="243"/>
      <c r="BG442" s="243"/>
      <c r="BH442" s="243"/>
    </row>
    <row r="443" spans="1:60" hidden="1" x14ac:dyDescent="0.25">
      <c r="A443" s="558"/>
      <c r="B443" s="715" t="s">
        <v>758</v>
      </c>
      <c r="C443" s="716"/>
      <c r="D443" s="569">
        <f>(+'[15]Profit &amp; Loss Grouping'!E357-'[15]Profit &amp; Loss Grouping'!E347)</f>
        <v>0</v>
      </c>
      <c r="E443" s="412">
        <f>+'[15]Profit &amp; Loss Grouping'!G357-'[15]Profit &amp; Loss Grouping'!G347</f>
        <v>0</v>
      </c>
      <c r="F443" s="355">
        <f>+E443-D443</f>
        <v>0</v>
      </c>
      <c r="G443" s="476"/>
      <c r="H443" s="476"/>
      <c r="I443" s="476"/>
    </row>
    <row r="444" spans="1:60" x14ac:dyDescent="0.25">
      <c r="A444" s="558"/>
      <c r="B444" s="710" t="s">
        <v>759</v>
      </c>
      <c r="C444" s="713"/>
      <c r="D444" s="569"/>
      <c r="E444" s="412"/>
    </row>
    <row r="445" spans="1:60" ht="14.25" customHeight="1" x14ac:dyDescent="0.25">
      <c r="A445" s="558"/>
      <c r="B445" s="717" t="s">
        <v>760</v>
      </c>
      <c r="C445" s="718"/>
      <c r="D445" s="569">
        <f>+'[15]Profit &amp; Loss Grouping'!E322</f>
        <v>0.88725559999999992</v>
      </c>
      <c r="E445" s="412">
        <f>+'[15]Profit &amp; Loss Grouping'!G322</f>
        <v>0.64500000000000002</v>
      </c>
    </row>
    <row r="446" spans="1:60" x14ac:dyDescent="0.25">
      <c r="A446" s="558"/>
      <c r="B446" s="717" t="s">
        <v>761</v>
      </c>
      <c r="C446" s="713"/>
      <c r="D446" s="569">
        <f>+'[15]Profit &amp; Loss Grouping'!E323</f>
        <v>0</v>
      </c>
      <c r="E446" s="412">
        <f>+'[15]Profit &amp; Loss Grouping'!G323</f>
        <v>0</v>
      </c>
    </row>
    <row r="447" spans="1:60" x14ac:dyDescent="0.25">
      <c r="A447" s="558"/>
      <c r="B447" s="717" t="s">
        <v>762</v>
      </c>
      <c r="C447" s="713"/>
      <c r="D447" s="569">
        <f>+'[15]Profit &amp; Loss Grouping'!E324</f>
        <v>1.5889400000000001E-2</v>
      </c>
      <c r="E447" s="412">
        <f>+'[15]Profit &amp; Loss Grouping'!G324</f>
        <v>1.5889400000000001E-2</v>
      </c>
    </row>
    <row r="448" spans="1:60" x14ac:dyDescent="0.25">
      <c r="A448" s="558"/>
      <c r="B448" s="717" t="s">
        <v>763</v>
      </c>
      <c r="C448" s="635"/>
      <c r="D448" s="694">
        <f>+'[15]Profit &amp; Loss Grouping'!E325</f>
        <v>0.11755500000000001</v>
      </c>
      <c r="E448" s="428">
        <f>+'[15]Profit &amp; Loss Grouping'!G325</f>
        <v>0.11755500000000001</v>
      </c>
    </row>
    <row r="449" spans="1:31" ht="15.75" thickBot="1" x14ac:dyDescent="0.3">
      <c r="A449" s="558"/>
      <c r="B449" s="719" t="s">
        <v>7</v>
      </c>
      <c r="C449" s="635"/>
      <c r="D449" s="683">
        <f>SUM(D420:D448)</f>
        <v>2297.6785224840005</v>
      </c>
      <c r="E449" s="684">
        <f>SUM(E420:E448)</f>
        <v>2304.7145891249997</v>
      </c>
      <c r="F449" s="355">
        <f>+D449-E449</f>
        <v>-7.0360666409992518</v>
      </c>
      <c r="G449" s="476"/>
      <c r="H449" s="476"/>
      <c r="I449" s="476"/>
      <c r="J449" s="363"/>
      <c r="K449" s="593">
        <f>+D449-D423-D424</f>
        <v>727.92891045400063</v>
      </c>
      <c r="L449" s="593">
        <f>+E449-E423-E424</f>
        <v>776.0469477539998</v>
      </c>
      <c r="M449" s="241">
        <f>+K449-L449</f>
        <v>-48.118037299999173</v>
      </c>
    </row>
    <row r="450" spans="1:31" ht="15.75" thickTop="1" x14ac:dyDescent="0.25">
      <c r="A450" s="558"/>
      <c r="B450" s="717"/>
      <c r="C450" s="713"/>
      <c r="D450" s="720"/>
      <c r="E450" s="721"/>
    </row>
    <row r="451" spans="1:31" x14ac:dyDescent="0.25">
      <c r="A451" s="722" t="s">
        <v>764</v>
      </c>
      <c r="B451" s="723" t="s">
        <v>765</v>
      </c>
      <c r="C451" s="713"/>
      <c r="D451" s="720"/>
      <c r="E451" s="721"/>
      <c r="AE451" s="558" t="s">
        <v>764</v>
      </c>
    </row>
    <row r="452" spans="1:31" x14ac:dyDescent="0.25">
      <c r="A452" s="558"/>
      <c r="B452" s="709" t="s">
        <v>766</v>
      </c>
      <c r="C452" s="713"/>
      <c r="D452" s="569">
        <f>(+'[15]Profit &amp; Loss Grouping'!D382-D453)+('[15]Revise def tax'!E88/10^7*0)</f>
        <v>182.48552272399999</v>
      </c>
      <c r="E452" s="412">
        <f>('[15]Revise def tax'!E41/10^7)-E453</f>
        <v>-621.31065813657324</v>
      </c>
      <c r="G452" s="701"/>
      <c r="AE452" s="558"/>
    </row>
    <row r="453" spans="1:31" x14ac:dyDescent="0.25">
      <c r="A453" s="558"/>
      <c r="B453" s="709" t="s">
        <v>767</v>
      </c>
      <c r="C453" s="713"/>
      <c r="D453" s="694">
        <f>-'[15]Tax Reco Note 15'!D64</f>
        <v>-43.192830824000005</v>
      </c>
      <c r="E453" s="428">
        <v>-4.971450996512</v>
      </c>
      <c r="AE453" s="558"/>
    </row>
    <row r="454" spans="1:31" ht="15.75" thickBot="1" x14ac:dyDescent="0.3">
      <c r="A454" s="558"/>
      <c r="B454" s="719"/>
      <c r="C454" s="635"/>
      <c r="D454" s="683">
        <f>SUM(D452:D453)</f>
        <v>139.29269189999999</v>
      </c>
      <c r="E454" s="684">
        <f>SUM(E452:E453)</f>
        <v>-626.28210913308521</v>
      </c>
      <c r="AE454" s="724"/>
    </row>
    <row r="455" spans="1:31" ht="15.75" thickTop="1" x14ac:dyDescent="0.25">
      <c r="A455" s="519"/>
      <c r="B455" s="725"/>
      <c r="C455" s="632"/>
      <c r="D455" s="521"/>
      <c r="E455" s="522"/>
    </row>
    <row r="456" spans="1:31" x14ac:dyDescent="0.25">
      <c r="A456" s="519"/>
      <c r="B456" s="725"/>
      <c r="C456" s="632"/>
      <c r="D456" s="521"/>
      <c r="E456" s="522"/>
    </row>
    <row r="457" spans="1:31" x14ac:dyDescent="0.25">
      <c r="A457" s="548" t="s">
        <v>768</v>
      </c>
      <c r="B457" s="723" t="s">
        <v>769</v>
      </c>
      <c r="C457" s="632"/>
      <c r="D457" s="521"/>
      <c r="E457" s="522"/>
    </row>
    <row r="458" spans="1:31" x14ac:dyDescent="0.25">
      <c r="A458" s="519"/>
      <c r="B458" s="709" t="s">
        <v>770</v>
      </c>
      <c r="C458" s="632"/>
      <c r="D458" s="521">
        <f>'[15]Profit &amp; Loss Grouping'!E269</f>
        <v>0</v>
      </c>
      <c r="E458" s="522">
        <f>'[15]Profit &amp; Loss Grouping'!G269</f>
        <v>2255.4344792000002</v>
      </c>
    </row>
    <row r="459" spans="1:31" x14ac:dyDescent="0.25">
      <c r="A459" s="519"/>
      <c r="B459" s="725" t="s">
        <v>771</v>
      </c>
      <c r="C459" s="632"/>
      <c r="D459" s="726">
        <v>-796.33742220639203</v>
      </c>
      <c r="E459" s="727">
        <f>-(6647075424/10^7)</f>
        <v>-664.70754239999997</v>
      </c>
    </row>
    <row r="460" spans="1:31" ht="15.75" thickBot="1" x14ac:dyDescent="0.3">
      <c r="A460" s="581"/>
      <c r="B460" s="728"/>
      <c r="C460" s="729"/>
      <c r="D460" s="573">
        <f>SUM(D458:D459)</f>
        <v>-796.33742220639203</v>
      </c>
      <c r="E460" s="573">
        <f>SUM(E458:E459)</f>
        <v>1590.7269368000002</v>
      </c>
    </row>
    <row r="461" spans="1:31" ht="15.75" thickTop="1" x14ac:dyDescent="0.25">
      <c r="B461" s="730"/>
      <c r="D461" s="732"/>
      <c r="E461" s="733"/>
    </row>
    <row r="462" spans="1:31" x14ac:dyDescent="0.25">
      <c r="B462" s="730"/>
      <c r="D462" s="732">
        <v>2587.0300000000002</v>
      </c>
      <c r="E462" s="733"/>
    </row>
    <row r="463" spans="1:31" x14ac:dyDescent="0.25">
      <c r="B463" s="730"/>
      <c r="D463" s="732">
        <f>+D462+D453</f>
        <v>2543.8371691760003</v>
      </c>
      <c r="E463" s="733"/>
    </row>
    <row r="464" spans="1:31" x14ac:dyDescent="0.25">
      <c r="B464" s="269" t="s">
        <v>591</v>
      </c>
      <c r="D464" s="734"/>
      <c r="E464" s="735"/>
    </row>
    <row r="465" spans="1:5" x14ac:dyDescent="0.25">
      <c r="B465" s="269" t="s">
        <v>591</v>
      </c>
      <c r="D465" s="736"/>
    </row>
    <row r="466" spans="1:5" x14ac:dyDescent="0.25">
      <c r="B466" s="269" t="s">
        <v>591</v>
      </c>
      <c r="D466" s="736"/>
    </row>
    <row r="467" spans="1:5" ht="14.25" x14ac:dyDescent="0.2">
      <c r="A467" s="738" t="s">
        <v>772</v>
      </c>
      <c r="B467" s="381"/>
      <c r="C467" s="739"/>
      <c r="D467" s="740"/>
      <c r="E467" s="741"/>
    </row>
    <row r="468" spans="1:5" ht="14.25" x14ac:dyDescent="0.2">
      <c r="A468" s="742"/>
      <c r="B468" s="743"/>
      <c r="C468" s="744"/>
      <c r="D468" s="745"/>
      <c r="E468" s="746"/>
    </row>
    <row r="469" spans="1:5" ht="14.25" x14ac:dyDescent="0.2">
      <c r="A469" s="747" t="s">
        <v>773</v>
      </c>
      <c r="B469" s="381"/>
      <c r="C469" s="748"/>
      <c r="D469" s="749"/>
      <c r="E469" s="741"/>
    </row>
    <row r="470" spans="1:5" ht="14.25" x14ac:dyDescent="0.2">
      <c r="A470" s="351"/>
      <c r="B470" s="381"/>
      <c r="C470" s="486"/>
      <c r="D470" s="748"/>
      <c r="E470" s="741"/>
    </row>
    <row r="471" spans="1:5" ht="14.25" x14ac:dyDescent="0.2">
      <c r="A471" s="351" t="s">
        <v>536</v>
      </c>
      <c r="B471" s="381"/>
      <c r="C471" s="486"/>
      <c r="D471" s="748">
        <f>+D103*10^7</f>
        <v>1734424679.8000896</v>
      </c>
      <c r="E471" s="750">
        <f>+E103*10^7</f>
        <v>-19629902007.134304</v>
      </c>
    </row>
    <row r="472" spans="1:5" ht="14.25" x14ac:dyDescent="0.2">
      <c r="A472" s="351" t="s">
        <v>774</v>
      </c>
      <c r="B472" s="381"/>
      <c r="C472" s="486"/>
      <c r="D472" s="748">
        <f>+D492</f>
        <v>26742916632.139721</v>
      </c>
      <c r="E472" s="751">
        <f>+N492</f>
        <v>26094311047.917805</v>
      </c>
    </row>
    <row r="473" spans="1:5" ht="14.25" x14ac:dyDescent="0.2">
      <c r="A473" s="351" t="s">
        <v>775</v>
      </c>
      <c r="B473" s="381"/>
      <c r="C473" s="486"/>
      <c r="D473" s="752">
        <f>D471/D472</f>
        <v>6.4855479439952055E-2</v>
      </c>
      <c r="E473" s="753">
        <f>E471/E472</f>
        <v>-0.75226749505236212</v>
      </c>
    </row>
    <row r="474" spans="1:5" ht="14.25" x14ac:dyDescent="0.2">
      <c r="A474" s="351"/>
      <c r="B474" s="381"/>
      <c r="C474" s="486"/>
      <c r="D474" s="748"/>
      <c r="E474" s="741"/>
    </row>
    <row r="475" spans="1:5" ht="14.25" x14ac:dyDescent="0.2">
      <c r="A475" s="747" t="s">
        <v>776</v>
      </c>
      <c r="B475" s="381"/>
      <c r="C475" s="486"/>
      <c r="D475" s="748"/>
      <c r="E475" s="741"/>
    </row>
    <row r="476" spans="1:5" ht="14.25" x14ac:dyDescent="0.2">
      <c r="A476" s="351"/>
      <c r="B476" s="381"/>
      <c r="C476" s="486"/>
      <c r="D476" s="748"/>
      <c r="E476" s="741"/>
    </row>
    <row r="477" spans="1:5" ht="14.25" x14ac:dyDescent="0.2">
      <c r="A477" s="351" t="s">
        <v>536</v>
      </c>
      <c r="B477" s="381"/>
      <c r="C477" s="486"/>
      <c r="D477" s="748">
        <f>+D471</f>
        <v>1734424679.8000896</v>
      </c>
      <c r="E477" s="750">
        <f>+E471</f>
        <v>-19629902007.134304</v>
      </c>
    </row>
    <row r="478" spans="1:5" ht="14.25" x14ac:dyDescent="0.2">
      <c r="A478" s="351" t="s">
        <v>774</v>
      </c>
      <c r="B478" s="381"/>
      <c r="C478" s="486"/>
      <c r="D478" s="748">
        <f>+D492</f>
        <v>26742916632.139721</v>
      </c>
      <c r="E478" s="741">
        <f>+N492</f>
        <v>26094311047.917805</v>
      </c>
    </row>
    <row r="479" spans="1:5" ht="14.25" x14ac:dyDescent="0.2">
      <c r="A479" s="351" t="s">
        <v>775</v>
      </c>
      <c r="B479" s="381"/>
      <c r="C479" s="486"/>
      <c r="D479" s="752">
        <f>D477/D478</f>
        <v>6.4855479439952055E-2</v>
      </c>
      <c r="E479" s="753">
        <f>E477/E478</f>
        <v>-0.75226749505236212</v>
      </c>
    </row>
    <row r="480" spans="1:5" ht="14.25" x14ac:dyDescent="0.2">
      <c r="A480" s="351"/>
      <c r="B480" s="381"/>
      <c r="C480" s="748"/>
      <c r="D480" s="749"/>
      <c r="E480" s="741"/>
    </row>
    <row r="481" spans="1:16" x14ac:dyDescent="0.25">
      <c r="A481" s="519"/>
      <c r="B481" s="243"/>
      <c r="C481" s="754"/>
      <c r="D481" s="755"/>
      <c r="E481" s="756" t="s">
        <v>777</v>
      </c>
      <c r="F481" s="529"/>
      <c r="G481" s="757"/>
      <c r="H481" s="757"/>
      <c r="I481" s="757"/>
      <c r="J481" s="267"/>
      <c r="M481" s="758"/>
      <c r="N481" s="759"/>
      <c r="O481" s="760" t="s">
        <v>778</v>
      </c>
      <c r="P481" s="761"/>
    </row>
    <row r="482" spans="1:16" x14ac:dyDescent="0.25">
      <c r="A482" s="519"/>
      <c r="B482" s="243"/>
      <c r="C482" s="754"/>
      <c r="D482" s="762"/>
      <c r="E482" s="763"/>
      <c r="F482" s="529"/>
      <c r="G482" s="757"/>
      <c r="H482" s="757"/>
      <c r="I482" s="757"/>
      <c r="J482" s="267"/>
      <c r="M482" s="764"/>
      <c r="N482" s="597"/>
      <c r="O482" s="267"/>
      <c r="P482" s="765"/>
    </row>
    <row r="483" spans="1:16" x14ac:dyDescent="0.25">
      <c r="A483" s="519"/>
      <c r="B483" s="243"/>
      <c r="C483" s="754"/>
      <c r="D483" s="766" t="s">
        <v>779</v>
      </c>
      <c r="E483" s="767" t="s">
        <v>780</v>
      </c>
      <c r="F483" s="498" t="s">
        <v>781</v>
      </c>
      <c r="G483" s="768"/>
      <c r="H483" s="768"/>
      <c r="I483" s="768"/>
      <c r="J483" s="267"/>
      <c r="M483" s="764"/>
      <c r="N483" s="597" t="s">
        <v>779</v>
      </c>
      <c r="O483" s="267" t="s">
        <v>780</v>
      </c>
      <c r="P483" s="765"/>
    </row>
    <row r="484" spans="1:16" x14ac:dyDescent="0.25">
      <c r="A484" s="519"/>
      <c r="B484" s="243"/>
      <c r="C484" s="754"/>
      <c r="D484" s="762"/>
      <c r="E484" s="763"/>
      <c r="F484" s="493"/>
      <c r="G484" s="768"/>
      <c r="H484" s="768"/>
      <c r="I484" s="768"/>
      <c r="J484" s="267"/>
      <c r="M484" s="764"/>
      <c r="N484" s="597"/>
      <c r="O484" s="267"/>
      <c r="P484" s="765"/>
    </row>
    <row r="485" spans="1:16" x14ac:dyDescent="0.25">
      <c r="A485" s="519"/>
      <c r="B485" s="243"/>
      <c r="C485" s="754"/>
      <c r="D485" s="762"/>
      <c r="E485" s="763"/>
      <c r="J485" s="267"/>
      <c r="M485" s="764"/>
      <c r="N485" s="597"/>
      <c r="O485" s="267"/>
      <c r="P485" s="765" t="s">
        <v>781</v>
      </c>
    </row>
    <row r="486" spans="1:16" x14ac:dyDescent="0.25">
      <c r="A486" s="519"/>
      <c r="B486" s="243"/>
      <c r="C486" s="754"/>
      <c r="D486" s="762">
        <f>D34*10^7/10</f>
        <v>26115397229.399994</v>
      </c>
      <c r="E486" s="763">
        <v>365</v>
      </c>
      <c r="F486" s="493">
        <f t="shared" ref="F486:F491" si="30">+D486*E486</f>
        <v>9532119988730.998</v>
      </c>
      <c r="G486" s="768"/>
      <c r="H486" s="768"/>
      <c r="I486" s="768"/>
      <c r="J486" s="267"/>
      <c r="M486" s="764"/>
      <c r="N486" s="769">
        <v>25918496225.999996</v>
      </c>
      <c r="O486" s="770">
        <v>365</v>
      </c>
      <c r="P486" s="771">
        <f>N486*O486</f>
        <v>9460251122489.998</v>
      </c>
    </row>
    <row r="487" spans="1:16" x14ac:dyDescent="0.25">
      <c r="A487" s="519"/>
      <c r="B487" s="772">
        <f>DATE(2024,3,31)</f>
        <v>45382</v>
      </c>
      <c r="C487" s="773">
        <v>45170</v>
      </c>
      <c r="D487" s="774">
        <v>519623018</v>
      </c>
      <c r="E487" s="775">
        <f>+B487-C487+1</f>
        <v>213</v>
      </c>
      <c r="F487" s="493">
        <f t="shared" si="30"/>
        <v>110679702834</v>
      </c>
      <c r="G487" s="768"/>
      <c r="H487" s="768"/>
      <c r="I487" s="768"/>
      <c r="J487" s="267"/>
      <c r="M487" s="764"/>
      <c r="N487" s="769">
        <v>319500000</v>
      </c>
      <c r="O487" s="770">
        <v>199</v>
      </c>
      <c r="P487" s="771">
        <f t="shared" ref="P487:P488" si="31">N487*O487</f>
        <v>63580500000</v>
      </c>
    </row>
    <row r="488" spans="1:16" x14ac:dyDescent="0.25">
      <c r="A488" s="519"/>
      <c r="B488" s="772">
        <f t="shared" ref="B488:B491" si="32">DATE(2024,3,31)</f>
        <v>45382</v>
      </c>
      <c r="C488" s="773">
        <v>45170</v>
      </c>
      <c r="D488" s="774">
        <v>537976982</v>
      </c>
      <c r="E488" s="775">
        <f>+B488-C488+1</f>
        <v>213</v>
      </c>
      <c r="F488" s="493">
        <f t="shared" si="30"/>
        <v>114589097166</v>
      </c>
      <c r="G488" s="768"/>
      <c r="H488" s="768"/>
      <c r="I488" s="768"/>
      <c r="J488" s="267"/>
      <c r="M488" s="764"/>
      <c r="N488" s="337">
        <v>591910000</v>
      </c>
      <c r="O488" s="769">
        <v>1</v>
      </c>
      <c r="P488" s="771">
        <f t="shared" si="31"/>
        <v>591910000</v>
      </c>
    </row>
    <row r="489" spans="1:16" x14ac:dyDescent="0.25">
      <c r="A489" s="519"/>
      <c r="B489" s="772">
        <f t="shared" si="32"/>
        <v>45382</v>
      </c>
      <c r="C489" s="773">
        <f>DATE(2024,3,30)</f>
        <v>45381</v>
      </c>
      <c r="D489" s="774">
        <v>1887891000</v>
      </c>
      <c r="E489" s="775">
        <f>+B489-C489+1</f>
        <v>2</v>
      </c>
      <c r="F489" s="493">
        <f t="shared" si="30"/>
        <v>3775782000</v>
      </c>
      <c r="G489" s="768"/>
      <c r="H489" s="768"/>
      <c r="I489" s="768"/>
      <c r="J489" s="267"/>
      <c r="M489" s="764"/>
      <c r="N489" s="597"/>
      <c r="O489" s="776"/>
      <c r="P489" s="771"/>
    </row>
    <row r="490" spans="1:16" x14ac:dyDescent="0.25">
      <c r="A490" s="519"/>
      <c r="B490" s="772">
        <f t="shared" si="32"/>
        <v>45382</v>
      </c>
      <c r="C490" s="773"/>
      <c r="D490" s="774">
        <v>0</v>
      </c>
      <c r="E490" s="775">
        <f>+B490-C490+1</f>
        <v>45383</v>
      </c>
      <c r="F490" s="493">
        <f t="shared" si="30"/>
        <v>0</v>
      </c>
      <c r="G490" s="768"/>
      <c r="H490" s="768"/>
      <c r="I490" s="768"/>
      <c r="J490" s="267"/>
      <c r="M490" s="764"/>
      <c r="N490" s="597"/>
      <c r="O490" s="776"/>
      <c r="P490" s="771"/>
    </row>
    <row r="491" spans="1:16" x14ac:dyDescent="0.25">
      <c r="A491" s="519"/>
      <c r="B491" s="772">
        <f t="shared" si="32"/>
        <v>45382</v>
      </c>
      <c r="C491" s="777"/>
      <c r="D491" s="778"/>
      <c r="E491" s="779">
        <f>+B491-C491+1</f>
        <v>45383</v>
      </c>
      <c r="F491" s="493">
        <f t="shared" si="30"/>
        <v>0</v>
      </c>
      <c r="G491" s="768"/>
      <c r="H491" s="768"/>
      <c r="I491" s="768"/>
      <c r="J491" s="267"/>
      <c r="M491" s="764"/>
      <c r="N491" s="780"/>
      <c r="O491" s="781">
        <v>1</v>
      </c>
      <c r="P491" s="782">
        <v>0</v>
      </c>
    </row>
    <row r="492" spans="1:16" x14ac:dyDescent="0.25">
      <c r="A492" s="581"/>
      <c r="B492" s="783" t="s">
        <v>782</v>
      </c>
      <c r="C492" s="784"/>
      <c r="D492" s="785">
        <f>+F492/E492</f>
        <v>26742916632.139721</v>
      </c>
      <c r="E492" s="786">
        <v>365</v>
      </c>
      <c r="F492" s="787">
        <f>SUM(F486:F490)</f>
        <v>9761164570730.998</v>
      </c>
      <c r="G492" s="788"/>
      <c r="H492" s="788"/>
      <c r="I492" s="788"/>
      <c r="J492" s="267"/>
      <c r="M492" s="789" t="s">
        <v>782</v>
      </c>
      <c r="N492" s="790">
        <f>+P492/O492</f>
        <v>26094311047.917805</v>
      </c>
      <c r="O492" s="781">
        <v>365</v>
      </c>
      <c r="P492" s="782">
        <f>SUM(P486:P491)</f>
        <v>9524423532489.998</v>
      </c>
    </row>
    <row r="493" spans="1:16" x14ac:dyDescent="0.25">
      <c r="P493" s="328"/>
    </row>
    <row r="499" spans="1:13" ht="10.5" customHeight="1" x14ac:dyDescent="0.25"/>
    <row r="500" spans="1:13" ht="20.25" customHeight="1" x14ac:dyDescent="0.25">
      <c r="A500" s="791" t="s">
        <v>783</v>
      </c>
      <c r="B500" s="792"/>
      <c r="E500" s="243"/>
      <c r="F500" s="623"/>
    </row>
    <row r="501" spans="1:13" ht="27.75" customHeight="1" x14ac:dyDescent="0.25">
      <c r="A501" s="793" t="s">
        <v>784</v>
      </c>
      <c r="B501" s="794" t="s">
        <v>6</v>
      </c>
      <c r="C501" s="795"/>
      <c r="D501" s="796" t="str">
        <f>+D78</f>
        <v xml:space="preserve">2023-24 </v>
      </c>
      <c r="E501" s="797" t="str">
        <f>+E78</f>
        <v>2022-23 (RESTATED)</v>
      </c>
      <c r="F501" s="798" t="s">
        <v>785</v>
      </c>
      <c r="G501" s="799"/>
      <c r="H501" s="799"/>
      <c r="I501" s="799"/>
      <c r="J501" s="1915" t="s">
        <v>786</v>
      </c>
      <c r="K501" s="1916"/>
    </row>
    <row r="502" spans="1:13" ht="6" customHeight="1" x14ac:dyDescent="0.25">
      <c r="A502" s="800"/>
      <c r="B502" s="801"/>
      <c r="C502" s="802"/>
      <c r="E502" s="471"/>
      <c r="F502" s="619"/>
      <c r="J502" s="1928"/>
      <c r="K502" s="1929"/>
    </row>
    <row r="503" spans="1:13" x14ac:dyDescent="0.2">
      <c r="A503" s="803"/>
      <c r="B503" s="272" t="s">
        <v>787</v>
      </c>
      <c r="C503" s="804"/>
      <c r="D503" s="805">
        <f>+D26</f>
        <v>31224.299261225122</v>
      </c>
      <c r="E503" s="806">
        <f>+E26</f>
        <v>26332.653086104274</v>
      </c>
      <c r="F503" s="807"/>
      <c r="G503" s="808"/>
      <c r="H503" s="808"/>
      <c r="I503" s="808"/>
      <c r="J503" s="1928"/>
      <c r="K503" s="1929"/>
    </row>
    <row r="504" spans="1:13" x14ac:dyDescent="0.2">
      <c r="A504" s="809"/>
      <c r="B504" s="272" t="s">
        <v>788</v>
      </c>
      <c r="C504" s="804"/>
      <c r="D504" s="805">
        <f>+D57</f>
        <v>30738.38504951496</v>
      </c>
      <c r="E504" s="806">
        <f>+E57</f>
        <v>30049.361324926984</v>
      </c>
      <c r="F504" s="807"/>
      <c r="G504" s="808"/>
      <c r="H504" s="808"/>
      <c r="I504" s="808"/>
      <c r="J504" s="1928"/>
      <c r="K504" s="1929"/>
    </row>
    <row r="505" spans="1:13" x14ac:dyDescent="0.2">
      <c r="A505" s="810">
        <v>1</v>
      </c>
      <c r="B505" s="811" t="s">
        <v>789</v>
      </c>
      <c r="C505" s="812"/>
      <c r="D505" s="813">
        <f>+D503/D504</f>
        <v>1.0158080592369256</v>
      </c>
      <c r="E505" s="814">
        <f>+E503/E504</f>
        <v>0.87631323678950968</v>
      </c>
      <c r="F505" s="815">
        <f>((ABS(D505/E505)-1))</f>
        <v>0.15918374456886419</v>
      </c>
      <c r="G505" s="816"/>
      <c r="H505" s="816"/>
      <c r="I505" s="816"/>
      <c r="J505" s="1928"/>
      <c r="K505" s="1929"/>
    </row>
    <row r="506" spans="1:13" ht="5.25" customHeight="1" x14ac:dyDescent="0.2">
      <c r="A506" s="817"/>
      <c r="B506" s="272"/>
      <c r="C506" s="804"/>
      <c r="D506" s="808"/>
      <c r="E506" s="818"/>
      <c r="F506" s="819"/>
      <c r="G506" s="820"/>
      <c r="H506" s="820"/>
      <c r="I506" s="820"/>
      <c r="J506" s="821"/>
      <c r="K506" s="822"/>
    </row>
    <row r="507" spans="1:13" ht="15" customHeight="1" x14ac:dyDescent="0.2">
      <c r="A507" s="803"/>
      <c r="B507" s="272" t="s">
        <v>790</v>
      </c>
      <c r="C507" s="804"/>
      <c r="D507" s="805">
        <f>+D50+D42</f>
        <v>40768.436836508008</v>
      </c>
      <c r="E507" s="805">
        <f>+E50+E42</f>
        <v>41960.069244946993</v>
      </c>
      <c r="F507" s="806"/>
      <c r="G507" s="823"/>
      <c r="H507" s="823"/>
      <c r="I507" s="823"/>
      <c r="J507" s="1938"/>
      <c r="K507" s="1939"/>
    </row>
    <row r="508" spans="1:13" x14ac:dyDescent="0.2">
      <c r="A508" s="809"/>
      <c r="B508" s="272" t="s">
        <v>430</v>
      </c>
      <c r="C508" s="804"/>
      <c r="D508" s="805">
        <f>+D38</f>
        <v>16148.366048536021</v>
      </c>
      <c r="E508" s="806">
        <f>+E38</f>
        <v>15808.797642133093</v>
      </c>
      <c r="F508" s="806"/>
      <c r="G508" s="823"/>
      <c r="H508" s="823"/>
      <c r="I508" s="823"/>
      <c r="J508" s="1938"/>
      <c r="K508" s="1939"/>
    </row>
    <row r="509" spans="1:13" x14ac:dyDescent="0.2">
      <c r="A509" s="810">
        <v>2</v>
      </c>
      <c r="B509" s="811" t="s">
        <v>791</v>
      </c>
      <c r="C509" s="812"/>
      <c r="D509" s="813">
        <f>+D507/D508</f>
        <v>2.5246168382592487</v>
      </c>
      <c r="E509" s="814">
        <f>+E507/E508</f>
        <v>2.6542226799789241</v>
      </c>
      <c r="F509" s="815">
        <f>((ABS(D509/E509)-1))</f>
        <v>-4.8830055856769583E-2</v>
      </c>
      <c r="G509" s="824"/>
      <c r="H509" s="824"/>
      <c r="I509" s="824"/>
      <c r="J509" s="1940"/>
      <c r="K509" s="1941"/>
    </row>
    <row r="510" spans="1:13" ht="15" customHeight="1" x14ac:dyDescent="0.2">
      <c r="A510" s="817"/>
      <c r="B510" s="272"/>
      <c r="C510" s="804"/>
      <c r="D510" s="808"/>
      <c r="E510" s="818"/>
      <c r="F510" s="819"/>
      <c r="G510" s="820"/>
      <c r="H510" s="820"/>
      <c r="I510" s="820"/>
      <c r="J510" s="1942" t="s">
        <v>792</v>
      </c>
      <c r="K510" s="1943"/>
    </row>
    <row r="511" spans="1:13" x14ac:dyDescent="0.2">
      <c r="A511" s="803"/>
      <c r="B511" s="272" t="s">
        <v>793</v>
      </c>
      <c r="C511" s="804"/>
      <c r="D511" s="805">
        <f>+D97+D90+D89</f>
        <v>6654.6138925030091</v>
      </c>
      <c r="E511" s="806">
        <f>+E97+E90+E89</f>
        <v>3733.0659050669974</v>
      </c>
      <c r="F511" s="806"/>
      <c r="G511" s="808"/>
      <c r="H511" s="808"/>
      <c r="I511" s="808"/>
      <c r="J511" s="1944"/>
      <c r="K511" s="1945"/>
      <c r="M511" s="241">
        <f>+D86-E86</f>
        <v>-1590.1866273310006</v>
      </c>
    </row>
    <row r="512" spans="1:13" x14ac:dyDescent="0.2">
      <c r="A512" s="809"/>
      <c r="B512" s="272" t="s">
        <v>794</v>
      </c>
      <c r="C512" s="804"/>
      <c r="D512" s="805">
        <f>+D89+('[15]CFS '!D107+'[15]CFS '!D109)</f>
        <v>8680.3173966199247</v>
      </c>
      <c r="E512" s="806">
        <f>+E89+('[15]CFS '!E107+'[15]CFS '!E109)</f>
        <v>7019.1564502820511</v>
      </c>
      <c r="F512" s="806"/>
      <c r="G512" s="808"/>
      <c r="H512" s="808"/>
      <c r="I512" s="808"/>
      <c r="J512" s="1944"/>
      <c r="K512" s="1945"/>
      <c r="M512" s="241">
        <f>+E375-D375</f>
        <v>1275.0701385000002</v>
      </c>
    </row>
    <row r="513" spans="1:11" ht="20.25" customHeight="1" x14ac:dyDescent="0.2">
      <c r="A513" s="810">
        <v>3</v>
      </c>
      <c r="B513" s="811" t="s">
        <v>795</v>
      </c>
      <c r="C513" s="812"/>
      <c r="D513" s="813">
        <f>+D511/D512</f>
        <v>0.76663255367762073</v>
      </c>
      <c r="E513" s="814">
        <f>+E511/E512</f>
        <v>0.53183967781726693</v>
      </c>
      <c r="F513" s="815">
        <f>((ABS(D513/E513)-1))</f>
        <v>0.44147303342234934</v>
      </c>
      <c r="G513" s="825"/>
      <c r="H513" s="825"/>
      <c r="I513" s="825"/>
      <c r="J513" s="1946"/>
      <c r="K513" s="1947"/>
    </row>
    <row r="514" spans="1:11" ht="20.25" customHeight="1" x14ac:dyDescent="0.2">
      <c r="A514" s="817"/>
      <c r="B514" s="272"/>
      <c r="C514" s="804"/>
      <c r="D514" s="808"/>
      <c r="E514" s="818"/>
      <c r="F514" s="819"/>
      <c r="G514" s="820"/>
      <c r="H514" s="820"/>
      <c r="I514" s="820"/>
      <c r="J514" s="1932" t="s">
        <v>796</v>
      </c>
      <c r="K514" s="1933"/>
    </row>
    <row r="515" spans="1:11" x14ac:dyDescent="0.2">
      <c r="A515" s="803"/>
      <c r="B515" s="272" t="s">
        <v>797</v>
      </c>
      <c r="C515" s="804"/>
      <c r="D515" s="805">
        <f>+D109</f>
        <v>45.017248804008943</v>
      </c>
      <c r="E515" s="806">
        <f>+E109</f>
        <v>-1977.7718131169186</v>
      </c>
      <c r="F515" s="806"/>
      <c r="G515" s="808"/>
      <c r="H515" s="808"/>
      <c r="I515" s="808"/>
      <c r="J515" s="1934"/>
      <c r="K515" s="1935"/>
    </row>
    <row r="516" spans="1:11" x14ac:dyDescent="0.2">
      <c r="A516" s="809"/>
      <c r="B516" s="272" t="s">
        <v>798</v>
      </c>
      <c r="C516" s="804"/>
      <c r="D516" s="805">
        <f>(D38+E38)/2</f>
        <v>15978.581845334556</v>
      </c>
      <c r="E516" s="806">
        <f>(E38+F38)/2</f>
        <v>16752.113046994549</v>
      </c>
      <c r="F516" s="806"/>
      <c r="G516" s="808"/>
      <c r="H516" s="808"/>
      <c r="I516" s="808"/>
      <c r="J516" s="1934"/>
      <c r="K516" s="1935"/>
    </row>
    <row r="517" spans="1:11" x14ac:dyDescent="0.2">
      <c r="A517" s="810">
        <v>4</v>
      </c>
      <c r="B517" s="811" t="s">
        <v>799</v>
      </c>
      <c r="C517" s="812"/>
      <c r="D517" s="826">
        <f>+D515/D516</f>
        <v>2.8173494518947645E-3</v>
      </c>
      <c r="E517" s="827">
        <f>+E515/E516</f>
        <v>-0.11806103549854836</v>
      </c>
      <c r="F517" s="815">
        <f>((ABS(D517/E517)-1))</f>
        <v>-0.97613650058211288</v>
      </c>
      <c r="G517" s="825"/>
      <c r="H517" s="825"/>
      <c r="I517" s="825"/>
      <c r="J517" s="1936"/>
      <c r="K517" s="1937"/>
    </row>
    <row r="518" spans="1:11" ht="8.25" customHeight="1" x14ac:dyDescent="0.2">
      <c r="A518" s="817"/>
      <c r="B518" s="272"/>
      <c r="C518" s="804"/>
      <c r="D518" s="808"/>
      <c r="E518" s="818"/>
      <c r="F518" s="819"/>
      <c r="G518" s="820"/>
      <c r="H518" s="820"/>
      <c r="I518" s="820"/>
      <c r="J518" s="1932" t="s">
        <v>800</v>
      </c>
      <c r="K518" s="1933"/>
    </row>
    <row r="519" spans="1:11" x14ac:dyDescent="0.2">
      <c r="A519" s="803"/>
      <c r="B519" s="272" t="s">
        <v>801</v>
      </c>
      <c r="C519" s="804"/>
      <c r="D519" s="806">
        <f>+D86</f>
        <v>22119.298383977002</v>
      </c>
      <c r="E519" s="805">
        <f>+E86</f>
        <v>23709.485011308003</v>
      </c>
      <c r="F519" s="806"/>
      <c r="G519" s="808"/>
      <c r="H519" s="808"/>
      <c r="I519" s="808"/>
      <c r="J519" s="1934"/>
      <c r="K519" s="1935"/>
    </row>
    <row r="520" spans="1:11" x14ac:dyDescent="0.2">
      <c r="A520" s="809"/>
      <c r="B520" s="272" t="s">
        <v>802</v>
      </c>
      <c r="C520" s="804"/>
      <c r="D520" s="805">
        <f>(D210+E210)/2</f>
        <v>2529.1810478524999</v>
      </c>
      <c r="E520" s="806">
        <f>(E210+F210)/2</f>
        <v>1685.2718846509997</v>
      </c>
      <c r="F520" s="806"/>
      <c r="G520" s="808"/>
      <c r="H520" s="808"/>
      <c r="I520" s="808"/>
      <c r="J520" s="1934"/>
      <c r="K520" s="1935"/>
    </row>
    <row r="521" spans="1:11" x14ac:dyDescent="0.2">
      <c r="A521" s="810">
        <v>5</v>
      </c>
      <c r="B521" s="811" t="s">
        <v>803</v>
      </c>
      <c r="C521" s="812"/>
      <c r="D521" s="828">
        <f>+D519/D520</f>
        <v>8.7456366173383504</v>
      </c>
      <c r="E521" s="829">
        <f>+E519/E520</f>
        <v>14.068640928058894</v>
      </c>
      <c r="F521" s="815">
        <f>((D521/E521)-1)</f>
        <v>-0.37835952583765176</v>
      </c>
      <c r="G521" s="825"/>
      <c r="H521" s="825"/>
      <c r="I521" s="825"/>
      <c r="J521" s="1936"/>
      <c r="K521" s="1937"/>
    </row>
    <row r="522" spans="1:11" ht="7.5" customHeight="1" x14ac:dyDescent="0.2">
      <c r="A522" s="817"/>
      <c r="B522" s="272"/>
      <c r="C522" s="804"/>
      <c r="D522" s="808"/>
      <c r="E522" s="818"/>
      <c r="F522" s="819"/>
      <c r="G522" s="820"/>
      <c r="H522" s="820"/>
      <c r="I522" s="820"/>
      <c r="J522" s="1948"/>
      <c r="K522" s="1949"/>
    </row>
    <row r="523" spans="1:11" x14ac:dyDescent="0.2">
      <c r="A523" s="803"/>
      <c r="B523" s="272" t="s">
        <v>804</v>
      </c>
      <c r="C523" s="804"/>
      <c r="D523" s="806">
        <f>+D81</f>
        <v>29673.347245310008</v>
      </c>
      <c r="E523" s="805">
        <f>+E81</f>
        <v>28887.792758649004</v>
      </c>
      <c r="F523" s="806"/>
      <c r="G523" s="808"/>
      <c r="H523" s="808"/>
      <c r="I523" s="808"/>
      <c r="J523" s="1928"/>
      <c r="K523" s="1929"/>
    </row>
    <row r="524" spans="1:11" x14ac:dyDescent="0.2">
      <c r="A524" s="809"/>
      <c r="B524" s="272" t="s">
        <v>805</v>
      </c>
      <c r="C524" s="804"/>
      <c r="D524" s="805">
        <f>(D217+E217)/2</f>
        <v>24822.262621069698</v>
      </c>
      <c r="E524" s="806">
        <f>(E217+F217)/2</f>
        <v>25588.872489957139</v>
      </c>
      <c r="F524" s="806"/>
      <c r="G524" s="808"/>
      <c r="H524" s="808"/>
      <c r="I524" s="808"/>
      <c r="J524" s="1928"/>
      <c r="K524" s="1929"/>
    </row>
    <row r="525" spans="1:11" ht="21.75" customHeight="1" x14ac:dyDescent="0.2">
      <c r="A525" s="810">
        <v>6</v>
      </c>
      <c r="B525" s="811" t="s">
        <v>806</v>
      </c>
      <c r="C525" s="812"/>
      <c r="D525" s="828">
        <f>+D523/D524</f>
        <v>1.195432813611544</v>
      </c>
      <c r="E525" s="829">
        <f>+E523/E524</f>
        <v>1.1289201104889084</v>
      </c>
      <c r="F525" s="815">
        <f>((D525/E525)-1)</f>
        <v>5.8917103614914312E-2</v>
      </c>
      <c r="G525" s="825"/>
      <c r="H525" s="825"/>
      <c r="I525" s="825"/>
      <c r="J525" s="1930"/>
      <c r="K525" s="1931"/>
    </row>
    <row r="526" spans="1:11" ht="5.25" customHeight="1" x14ac:dyDescent="0.2">
      <c r="A526" s="817"/>
      <c r="B526" s="272"/>
      <c r="C526" s="804"/>
      <c r="D526" s="808"/>
      <c r="E526" s="818"/>
      <c r="F526" s="819"/>
      <c r="G526" s="820"/>
      <c r="H526" s="820"/>
      <c r="I526" s="820"/>
      <c r="J526" s="821"/>
      <c r="K526" s="761"/>
    </row>
    <row r="527" spans="1:11" x14ac:dyDescent="0.2">
      <c r="A527" s="803"/>
      <c r="B527" s="272" t="s">
        <v>804</v>
      </c>
      <c r="C527" s="804"/>
      <c r="D527" s="805">
        <f>+D523</f>
        <v>29673.347245310008</v>
      </c>
      <c r="E527" s="806">
        <f>+E523</f>
        <v>28887.792758649004</v>
      </c>
      <c r="F527" s="806"/>
      <c r="G527" s="808"/>
      <c r="H527" s="808"/>
      <c r="I527" s="808"/>
      <c r="K527" s="765"/>
    </row>
    <row r="528" spans="1:11" x14ac:dyDescent="0.2">
      <c r="A528" s="809"/>
      <c r="B528" s="272" t="s">
        <v>807</v>
      </c>
      <c r="C528" s="804"/>
      <c r="D528" s="805">
        <f>(D322+E322)/2</f>
        <v>8926.3476453914991</v>
      </c>
      <c r="E528" s="806">
        <f>(E322+F322)/2</f>
        <v>7378.3137231789988</v>
      </c>
      <c r="F528" s="806"/>
      <c r="G528" s="808"/>
      <c r="H528" s="808"/>
      <c r="I528" s="808"/>
      <c r="K528" s="765"/>
    </row>
    <row r="529" spans="1:11" x14ac:dyDescent="0.2">
      <c r="A529" s="810">
        <v>7</v>
      </c>
      <c r="B529" s="811" t="s">
        <v>808</v>
      </c>
      <c r="C529" s="812"/>
      <c r="D529" s="828">
        <f>+D527/D528</f>
        <v>3.3242428397497807</v>
      </c>
      <c r="E529" s="829">
        <f>+E527/E528</f>
        <v>3.9152296639133004</v>
      </c>
      <c r="F529" s="830">
        <f>((D529/E529)-1)</f>
        <v>-0.15094563407369166</v>
      </c>
      <c r="G529" s="825"/>
      <c r="H529" s="825"/>
      <c r="I529" s="825"/>
      <c r="J529" s="385"/>
      <c r="K529" s="497"/>
    </row>
    <row r="530" spans="1:11" ht="6" customHeight="1" x14ac:dyDescent="0.2">
      <c r="A530" s="817"/>
      <c r="B530" s="272"/>
      <c r="C530" s="804"/>
      <c r="D530" s="808"/>
      <c r="E530" s="818"/>
      <c r="F530" s="819"/>
      <c r="G530" s="820"/>
      <c r="H530" s="820"/>
      <c r="I530" s="820"/>
      <c r="J530" s="821"/>
      <c r="K530" s="761"/>
    </row>
    <row r="531" spans="1:11" ht="15" hidden="1" customHeight="1" x14ac:dyDescent="0.2">
      <c r="A531" s="803"/>
      <c r="B531" s="272"/>
      <c r="C531" s="804"/>
      <c r="D531" s="808"/>
      <c r="E531" s="818"/>
      <c r="F531" s="806"/>
      <c r="G531" s="808"/>
      <c r="H531" s="808"/>
      <c r="I531" s="808"/>
      <c r="J531" s="1928"/>
      <c r="K531" s="1929"/>
    </row>
    <row r="532" spans="1:11" x14ac:dyDescent="0.2">
      <c r="A532" s="803"/>
      <c r="B532" s="272" t="s">
        <v>804</v>
      </c>
      <c r="C532" s="804"/>
      <c r="D532" s="805">
        <f>+D527</f>
        <v>29673.347245310008</v>
      </c>
      <c r="E532" s="806">
        <f>+E527</f>
        <v>28887.792758649004</v>
      </c>
      <c r="F532" s="806"/>
      <c r="G532" s="808"/>
      <c r="H532" s="808"/>
      <c r="I532" s="808"/>
      <c r="J532" s="1928"/>
      <c r="K532" s="1929"/>
    </row>
    <row r="533" spans="1:11" x14ac:dyDescent="0.2">
      <c r="A533" s="809"/>
      <c r="B533" s="272" t="s">
        <v>809</v>
      </c>
      <c r="C533" s="804"/>
      <c r="D533" s="805">
        <f>+D38</f>
        <v>16148.366048536021</v>
      </c>
      <c r="E533" s="806">
        <f>+E38</f>
        <v>15808.797642133093</v>
      </c>
      <c r="F533" s="806"/>
      <c r="G533" s="808"/>
      <c r="H533" s="808"/>
      <c r="I533" s="808"/>
      <c r="J533" s="1928"/>
      <c r="K533" s="1929"/>
    </row>
    <row r="534" spans="1:11" ht="21.75" customHeight="1" x14ac:dyDescent="0.2">
      <c r="A534" s="810">
        <v>8</v>
      </c>
      <c r="B534" s="811" t="s">
        <v>810</v>
      </c>
      <c r="C534" s="812"/>
      <c r="D534" s="813">
        <f>+D532/D533</f>
        <v>1.8375448733403053</v>
      </c>
      <c r="E534" s="814">
        <f>+E532/E533</f>
        <v>1.8273238365489732</v>
      </c>
      <c r="F534" s="815">
        <f>((D534/E534)-1)</f>
        <v>5.5934457740316468E-3</v>
      </c>
      <c r="G534" s="825"/>
      <c r="H534" s="825"/>
      <c r="I534" s="825"/>
      <c r="J534" s="1930"/>
      <c r="K534" s="1931"/>
    </row>
    <row r="535" spans="1:11" ht="15" customHeight="1" x14ac:dyDescent="0.2">
      <c r="A535" s="817"/>
      <c r="B535" s="272"/>
      <c r="C535" s="804"/>
      <c r="D535" s="808"/>
      <c r="E535" s="818"/>
      <c r="F535" s="819"/>
      <c r="G535" s="820"/>
      <c r="H535" s="820"/>
      <c r="I535" s="820"/>
      <c r="J535" s="1932" t="s">
        <v>796</v>
      </c>
      <c r="K535" s="1933"/>
    </row>
    <row r="536" spans="1:11" x14ac:dyDescent="0.2">
      <c r="A536" s="803"/>
      <c r="B536" s="272" t="s">
        <v>797</v>
      </c>
      <c r="C536" s="804"/>
      <c r="D536" s="805">
        <f>+D515</f>
        <v>45.017248804008943</v>
      </c>
      <c r="E536" s="806">
        <f>+E515</f>
        <v>-1977.7718131169186</v>
      </c>
      <c r="F536" s="806"/>
      <c r="G536" s="808"/>
      <c r="H536" s="808"/>
      <c r="I536" s="808"/>
      <c r="J536" s="1934"/>
      <c r="K536" s="1935"/>
    </row>
    <row r="537" spans="1:11" x14ac:dyDescent="0.2">
      <c r="A537" s="809"/>
      <c r="B537" s="272" t="s">
        <v>811</v>
      </c>
      <c r="C537" s="804"/>
      <c r="D537" s="805">
        <f>+D527</f>
        <v>29673.347245310008</v>
      </c>
      <c r="E537" s="806">
        <f>+E527</f>
        <v>28887.792758649004</v>
      </c>
      <c r="F537" s="806"/>
      <c r="G537" s="808"/>
      <c r="H537" s="808"/>
      <c r="I537" s="808"/>
      <c r="J537" s="1934"/>
      <c r="K537" s="1935"/>
    </row>
    <row r="538" spans="1:11" ht="21" customHeight="1" x14ac:dyDescent="0.2">
      <c r="A538" s="810">
        <v>9</v>
      </c>
      <c r="B538" s="811" t="s">
        <v>812</v>
      </c>
      <c r="C538" s="812"/>
      <c r="D538" s="826">
        <f>+D536/D537</f>
        <v>1.5170937215761562E-3</v>
      </c>
      <c r="E538" s="827">
        <f>+E536/E537</f>
        <v>-6.8463929717329258E-2</v>
      </c>
      <c r="F538" s="815">
        <f>((D538/E538)-1)</f>
        <v>-1.0221590219527255</v>
      </c>
      <c r="G538" s="825"/>
      <c r="H538" s="825"/>
      <c r="I538" s="825"/>
      <c r="J538" s="1936"/>
      <c r="K538" s="1937"/>
    </row>
    <row r="539" spans="1:11" ht="19.5" customHeight="1" x14ac:dyDescent="0.2">
      <c r="A539" s="817"/>
      <c r="B539" s="272"/>
      <c r="C539" s="804"/>
      <c r="D539" s="808"/>
      <c r="E539" s="818"/>
      <c r="F539" s="819"/>
      <c r="G539" s="820"/>
      <c r="H539" s="820"/>
      <c r="I539" s="820"/>
      <c r="J539" s="1932" t="s">
        <v>796</v>
      </c>
      <c r="K539" s="1933"/>
    </row>
    <row r="540" spans="1:11" x14ac:dyDescent="0.2">
      <c r="A540" s="803"/>
      <c r="B540" s="272" t="s">
        <v>813</v>
      </c>
      <c r="C540" s="804"/>
      <c r="D540" s="805">
        <f>+D97+D89</f>
        <v>3966.8690002560093</v>
      </c>
      <c r="E540" s="806">
        <f>+E97+E89</f>
        <v>885.80894082899704</v>
      </c>
      <c r="F540" s="806"/>
      <c r="G540" s="808"/>
      <c r="H540" s="808"/>
      <c r="I540" s="808"/>
      <c r="J540" s="1934"/>
      <c r="K540" s="1935"/>
    </row>
    <row r="541" spans="1:11" x14ac:dyDescent="0.2">
      <c r="A541" s="809"/>
      <c r="B541" s="272" t="s">
        <v>814</v>
      </c>
      <c r="C541" s="804"/>
      <c r="D541" s="805">
        <f>+D30-D57-D43-D44-D45-D46</f>
        <v>40872.908636609398</v>
      </c>
      <c r="E541" s="805">
        <f>+E30-E57-E43-E44-E45-E46</f>
        <v>40496.137015073517</v>
      </c>
      <c r="F541" s="806"/>
      <c r="G541" s="808"/>
      <c r="H541" s="808"/>
      <c r="I541" s="808"/>
      <c r="J541" s="1934"/>
      <c r="K541" s="1935"/>
    </row>
    <row r="542" spans="1:11" x14ac:dyDescent="0.2">
      <c r="A542" s="810">
        <v>10</v>
      </c>
      <c r="B542" s="811" t="s">
        <v>815</v>
      </c>
      <c r="C542" s="812"/>
      <c r="D542" s="826">
        <f>+D540/D541</f>
        <v>9.705374862171981E-2</v>
      </c>
      <c r="E542" s="827">
        <f>+E540/E541</f>
        <v>2.1873912084485497E-2</v>
      </c>
      <c r="F542" s="815">
        <f>((D542/E542)-1)</f>
        <v>3.4369634588847546</v>
      </c>
      <c r="G542" s="825"/>
      <c r="H542" s="825"/>
      <c r="I542" s="825"/>
      <c r="J542" s="1936"/>
      <c r="K542" s="1937"/>
    </row>
    <row r="543" spans="1:11" ht="15" customHeight="1" x14ac:dyDescent="0.2">
      <c r="A543" s="817"/>
      <c r="B543" s="272"/>
      <c r="C543" s="804"/>
      <c r="D543" s="808"/>
      <c r="E543" s="818"/>
      <c r="F543" s="807"/>
      <c r="G543" s="808"/>
      <c r="H543" s="808"/>
      <c r="I543" s="808"/>
      <c r="J543" s="1932" t="s">
        <v>796</v>
      </c>
      <c r="K543" s="1933"/>
    </row>
    <row r="544" spans="1:11" x14ac:dyDescent="0.2">
      <c r="A544" s="803"/>
      <c r="B544" s="272" t="s">
        <v>813</v>
      </c>
      <c r="C544" s="804"/>
      <c r="D544" s="805">
        <f>+D540</f>
        <v>3966.8690002560093</v>
      </c>
      <c r="E544" s="806">
        <f>+E540</f>
        <v>885.80894082899704</v>
      </c>
      <c r="F544" s="807"/>
      <c r="G544" s="808"/>
      <c r="H544" s="808"/>
      <c r="I544" s="808"/>
      <c r="J544" s="1934"/>
      <c r="K544" s="1935"/>
    </row>
    <row r="545" spans="1:11" ht="19.5" customHeight="1" x14ac:dyDescent="0.2">
      <c r="A545" s="809"/>
      <c r="B545" s="272" t="s">
        <v>816</v>
      </c>
      <c r="C545" s="804"/>
      <c r="D545" s="805">
        <f>+D38+D42</f>
        <v>40872.908648489429</v>
      </c>
      <c r="E545" s="806">
        <f>+E38+E42</f>
        <v>40496.13702703052</v>
      </c>
      <c r="F545" s="807"/>
      <c r="G545" s="808"/>
      <c r="H545" s="808"/>
      <c r="I545" s="808"/>
      <c r="J545" s="1934"/>
      <c r="K545" s="1935"/>
    </row>
    <row r="546" spans="1:11" x14ac:dyDescent="0.2">
      <c r="A546" s="810">
        <v>11</v>
      </c>
      <c r="B546" s="811" t="s">
        <v>817</v>
      </c>
      <c r="C546" s="812"/>
      <c r="D546" s="826">
        <f>+D544/D545</f>
        <v>9.7053748593510389E-2</v>
      </c>
      <c r="E546" s="827">
        <f>+E544/E545</f>
        <v>2.1873912078026945E-2</v>
      </c>
      <c r="F546" s="815">
        <f>((D546/E546)-1)</f>
        <v>3.4369634589051872</v>
      </c>
      <c r="G546" s="825"/>
      <c r="H546" s="825"/>
      <c r="I546" s="825"/>
      <c r="J546" s="1936"/>
      <c r="K546" s="1937"/>
    </row>
  </sheetData>
  <mergeCells count="16">
    <mergeCell ref="J531:K534"/>
    <mergeCell ref="J535:K538"/>
    <mergeCell ref="J539:K542"/>
    <mergeCell ref="J543:K546"/>
    <mergeCell ref="J502:K505"/>
    <mergeCell ref="J507:K509"/>
    <mergeCell ref="J510:K513"/>
    <mergeCell ref="J514:K517"/>
    <mergeCell ref="J518:K521"/>
    <mergeCell ref="J522:K525"/>
    <mergeCell ref="J501:K501"/>
    <mergeCell ref="B59:E59"/>
    <mergeCell ref="B281:E281"/>
    <mergeCell ref="B282:E282"/>
    <mergeCell ref="B312:E312"/>
    <mergeCell ref="B313:E31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36"/>
  <sheetViews>
    <sheetView showGridLines="0" view="pageBreakPreview" zoomScale="90" zoomScaleSheetLayoutView="90" workbookViewId="0">
      <selection activeCell="G17" sqref="G17"/>
    </sheetView>
  </sheetViews>
  <sheetFormatPr defaultColWidth="9.140625" defaultRowHeight="15" x14ac:dyDescent="0.2"/>
  <cols>
    <col min="1" max="1" width="7.28515625" style="27" customWidth="1"/>
    <col min="2" max="3" width="6.42578125" style="27" customWidth="1"/>
    <col min="4" max="4" width="52.5703125" style="27" customWidth="1"/>
    <col min="5" max="5" width="8.85546875" style="30" bestFit="1" customWidth="1"/>
    <col min="6" max="6" width="25.7109375" style="13" customWidth="1"/>
    <col min="7" max="7" width="29.7109375" style="13" customWidth="1"/>
    <col min="8" max="8" width="17.5703125" style="27" bestFit="1" customWidth="1"/>
    <col min="9" max="9" width="22" style="27" bestFit="1" customWidth="1"/>
    <col min="10" max="10" width="16.5703125" style="27" bestFit="1" customWidth="1"/>
    <col min="11" max="16384" width="9.140625" style="27"/>
  </cols>
  <sheetData>
    <row r="1" spans="1:10" x14ac:dyDescent="0.2">
      <c r="C1" s="1875" t="s">
        <v>377</v>
      </c>
      <c r="D1" s="1875"/>
      <c r="E1" s="1875"/>
      <c r="F1" s="1875"/>
      <c r="G1" s="1875"/>
    </row>
    <row r="2" spans="1:10" x14ac:dyDescent="0.2">
      <c r="E2" s="1" t="s">
        <v>294</v>
      </c>
    </row>
    <row r="3" spans="1:10" x14ac:dyDescent="0.2">
      <c r="E3" s="2" t="s">
        <v>170</v>
      </c>
    </row>
    <row r="5" spans="1:10" x14ac:dyDescent="0.2">
      <c r="G5" s="44" t="s">
        <v>169</v>
      </c>
    </row>
    <row r="6" spans="1:10" ht="28.5" x14ac:dyDescent="0.2">
      <c r="A6" s="43" t="s">
        <v>3</v>
      </c>
      <c r="B6" s="1880" t="s">
        <v>6</v>
      </c>
      <c r="C6" s="1880"/>
      <c r="D6" s="1880"/>
      <c r="E6" s="43" t="str">
        <f>'Balance sheet'!E10</f>
        <v>Note No.</v>
      </c>
      <c r="F6" s="6" t="s">
        <v>149</v>
      </c>
      <c r="G6" s="6" t="s">
        <v>150</v>
      </c>
    </row>
    <row r="7" spans="1:10" x14ac:dyDescent="0.2">
      <c r="A7" s="34">
        <v>1</v>
      </c>
      <c r="B7" s="33" t="s">
        <v>19</v>
      </c>
      <c r="C7" s="33"/>
      <c r="D7" s="10"/>
      <c r="E7" s="34">
        <v>20</v>
      </c>
      <c r="F7" s="42">
        <f>+'20 &amp; 21'!D10+'20 &amp; 21'!D11</f>
        <v>29673.347245310008</v>
      </c>
      <c r="G7" s="42">
        <f>+'20 &amp; 21'!E10+'20 &amp; 21'!E11</f>
        <v>28887.792758649004</v>
      </c>
      <c r="H7" s="15"/>
      <c r="I7" s="15"/>
      <c r="J7" s="15"/>
    </row>
    <row r="8" spans="1:10" x14ac:dyDescent="0.2">
      <c r="A8" s="34">
        <v>2</v>
      </c>
      <c r="B8" s="35" t="s">
        <v>69</v>
      </c>
      <c r="C8" s="35"/>
      <c r="D8" s="10"/>
      <c r="E8" s="34">
        <v>21</v>
      </c>
      <c r="F8" s="42">
        <f>+'20 &amp; 21'!D39</f>
        <v>2866.749865837608</v>
      </c>
      <c r="G8" s="42">
        <f>+'20 &amp; 21'!E39</f>
        <v>4199.4422433320005</v>
      </c>
      <c r="H8" s="15"/>
      <c r="I8" s="15"/>
      <c r="J8" s="15"/>
    </row>
    <row r="9" spans="1:10" x14ac:dyDescent="0.2">
      <c r="A9" s="34"/>
      <c r="B9" s="35" t="s">
        <v>164</v>
      </c>
      <c r="C9" s="35"/>
      <c r="D9" s="10"/>
      <c r="E9" s="34"/>
      <c r="F9" s="42">
        <v>0</v>
      </c>
      <c r="G9" s="42">
        <v>0</v>
      </c>
      <c r="H9" s="15"/>
      <c r="I9" s="15"/>
      <c r="J9" s="15"/>
    </row>
    <row r="10" spans="1:10" x14ac:dyDescent="0.2">
      <c r="A10" s="34"/>
      <c r="B10" s="35" t="s">
        <v>165</v>
      </c>
      <c r="C10" s="35"/>
      <c r="D10" s="10"/>
      <c r="E10" s="34"/>
      <c r="F10" s="42">
        <f>+SUM('20 &amp; 21'!D13:D17)</f>
        <v>547.93408807799983</v>
      </c>
      <c r="G10" s="42">
        <f>+SUM('20 &amp; 21'!E13:E17)+0.01</f>
        <v>235.82737150599996</v>
      </c>
      <c r="H10" s="15"/>
      <c r="I10" s="15"/>
      <c r="J10" s="15"/>
    </row>
    <row r="11" spans="1:10" x14ac:dyDescent="0.2">
      <c r="A11" s="34">
        <v>3</v>
      </c>
      <c r="B11" s="36" t="s">
        <v>57</v>
      </c>
      <c r="C11" s="36"/>
      <c r="D11" s="10"/>
      <c r="E11" s="31"/>
      <c r="F11" s="1812">
        <f>SUM(F7:F10)</f>
        <v>33088.031199225617</v>
      </c>
      <c r="G11" s="1812">
        <f>SUM(G7:G10)</f>
        <v>33323.062373487002</v>
      </c>
      <c r="H11" s="15"/>
      <c r="I11" s="15"/>
      <c r="J11" s="15"/>
    </row>
    <row r="12" spans="1:10" x14ac:dyDescent="0.2">
      <c r="A12" s="54">
        <v>4</v>
      </c>
      <c r="B12" s="1881" t="s">
        <v>48</v>
      </c>
      <c r="C12" s="1881"/>
      <c r="D12" s="1881"/>
      <c r="E12" s="31"/>
      <c r="F12" s="1816"/>
      <c r="G12" s="1825"/>
      <c r="H12" s="15"/>
      <c r="I12" s="15"/>
      <c r="J12" s="15"/>
    </row>
    <row r="13" spans="1:10" x14ac:dyDescent="0.2">
      <c r="A13" s="54"/>
      <c r="B13" s="38" t="s">
        <v>318</v>
      </c>
      <c r="C13" s="1883" t="s">
        <v>317</v>
      </c>
      <c r="D13" s="1884"/>
      <c r="E13" s="34">
        <v>22</v>
      </c>
      <c r="F13" s="1816">
        <f>+'22 &amp; 22.1'!D16</f>
        <v>22119.298383977002</v>
      </c>
      <c r="G13" s="1816">
        <f>+'22 &amp; 22.1'!E16</f>
        <v>23704.717391180999</v>
      </c>
      <c r="H13" s="15"/>
      <c r="I13" s="15"/>
      <c r="J13" s="15"/>
    </row>
    <row r="14" spans="1:10" x14ac:dyDescent="0.2">
      <c r="A14" s="54"/>
      <c r="B14" s="38" t="s">
        <v>319</v>
      </c>
      <c r="C14" s="1883" t="s">
        <v>320</v>
      </c>
      <c r="D14" s="1884"/>
      <c r="E14" s="34">
        <v>22.1</v>
      </c>
      <c r="F14" s="1816">
        <f>+'22 &amp; 22.1'!D28</f>
        <v>555.71690159700006</v>
      </c>
      <c r="G14" s="1816">
        <f>+'22 &amp; 22.1'!E28</f>
        <v>278.2720339</v>
      </c>
      <c r="H14" s="15"/>
      <c r="I14" s="15"/>
      <c r="J14" s="15"/>
    </row>
    <row r="15" spans="1:10" x14ac:dyDescent="0.2">
      <c r="A15" s="34"/>
      <c r="B15" s="34" t="s">
        <v>22</v>
      </c>
      <c r="C15" s="1883" t="s">
        <v>103</v>
      </c>
      <c r="D15" s="1884"/>
      <c r="E15" s="34">
        <v>23</v>
      </c>
      <c r="F15" s="42">
        <f>+'23'!D39</f>
        <v>2428.6789708710003</v>
      </c>
      <c r="G15" s="42">
        <f>+'23'!E39</f>
        <v>1725.834106587</v>
      </c>
      <c r="H15" s="15"/>
      <c r="I15" s="15"/>
      <c r="J15" s="15"/>
    </row>
    <row r="16" spans="1:10" x14ac:dyDescent="0.2">
      <c r="A16" s="34"/>
      <c r="B16" s="34" t="s">
        <v>43</v>
      </c>
      <c r="C16" s="1883" t="s">
        <v>104</v>
      </c>
      <c r="D16" s="1884"/>
      <c r="E16" s="34">
        <v>24</v>
      </c>
      <c r="F16" s="42">
        <f>+'24 &amp; 25'!D18</f>
        <v>3610.9410095520007</v>
      </c>
      <c r="G16" s="42">
        <f>+'24 &amp; 25'!E18</f>
        <v>3493.1501897790008</v>
      </c>
      <c r="H16" s="15"/>
      <c r="I16" s="15"/>
      <c r="J16" s="15"/>
    </row>
    <row r="17" spans="1:10" x14ac:dyDescent="0.2">
      <c r="A17" s="34"/>
      <c r="B17" s="34" t="s">
        <v>45</v>
      </c>
      <c r="C17" s="1883" t="s">
        <v>105</v>
      </c>
      <c r="D17" s="1884"/>
      <c r="E17" s="34">
        <v>25</v>
      </c>
      <c r="F17" s="42">
        <f>+'24 &amp; 25'!D45</f>
        <v>2687.7448922470003</v>
      </c>
      <c r="G17" s="42">
        <f>+'24 &amp; 25'!E45</f>
        <v>2842.8386249599998</v>
      </c>
      <c r="H17" s="15"/>
      <c r="I17" s="15"/>
      <c r="J17" s="15"/>
    </row>
    <row r="18" spans="1:10" x14ac:dyDescent="0.2">
      <c r="A18" s="34"/>
      <c r="B18" s="34" t="s">
        <v>46</v>
      </c>
      <c r="C18" s="1883" t="s">
        <v>106</v>
      </c>
      <c r="D18" s="1884"/>
      <c r="E18" s="34"/>
      <c r="F18" s="42"/>
      <c r="G18" s="42"/>
      <c r="H18" s="15"/>
      <c r="I18" s="15"/>
      <c r="J18" s="15"/>
    </row>
    <row r="19" spans="1:10" s="26" customFormat="1" x14ac:dyDescent="0.2">
      <c r="A19" s="34"/>
      <c r="B19" s="34"/>
      <c r="C19" s="34" t="s">
        <v>53</v>
      </c>
      <c r="D19" s="39" t="s">
        <v>68</v>
      </c>
      <c r="E19" s="34">
        <v>26</v>
      </c>
      <c r="F19" s="42">
        <f>+'26'!D19</f>
        <v>1569.74961203</v>
      </c>
      <c r="G19" s="42">
        <f>+'26'!E19</f>
        <v>1528.335483436</v>
      </c>
      <c r="H19" s="15"/>
      <c r="I19" s="19"/>
      <c r="J19" s="19"/>
    </row>
    <row r="20" spans="1:10" x14ac:dyDescent="0.2">
      <c r="A20" s="34"/>
      <c r="B20" s="34"/>
      <c r="C20" s="34" t="s">
        <v>54</v>
      </c>
      <c r="D20" s="39" t="s">
        <v>107</v>
      </c>
      <c r="E20" s="34">
        <v>27</v>
      </c>
      <c r="F20" s="42">
        <f>+'27'!D32</f>
        <v>727.92891045399995</v>
      </c>
      <c r="G20" s="42">
        <f>+'27'!E32-0.01</f>
        <v>783.103550681</v>
      </c>
      <c r="H20" s="15">
        <f>+F20+F19</f>
        <v>2297.678522484</v>
      </c>
      <c r="I20" s="15">
        <v>2297.6799999999998</v>
      </c>
      <c r="J20" s="15">
        <f>+I20-H20</f>
        <v>1.4775159997952869E-3</v>
      </c>
    </row>
    <row r="21" spans="1:10" x14ac:dyDescent="0.2">
      <c r="A21" s="34"/>
      <c r="B21" s="34"/>
      <c r="C21" s="34" t="s">
        <v>55</v>
      </c>
      <c r="D21" s="39" t="s">
        <v>158</v>
      </c>
      <c r="E21" s="34">
        <v>28</v>
      </c>
      <c r="F21" s="42"/>
      <c r="G21" s="42"/>
      <c r="H21" s="15"/>
      <c r="I21" s="15"/>
      <c r="J21" s="15"/>
    </row>
    <row r="22" spans="1:10" x14ac:dyDescent="0.2">
      <c r="A22" s="34"/>
      <c r="B22" s="36" t="s">
        <v>108</v>
      </c>
      <c r="C22" s="34"/>
      <c r="D22" s="10"/>
      <c r="E22" s="31"/>
      <c r="F22" s="1812">
        <f>SUM(F13:F21)</f>
        <v>33700.058680727998</v>
      </c>
      <c r="G22" s="1812">
        <f>SUM(G13:G21)</f>
        <v>34356.251380524001</v>
      </c>
      <c r="H22" s="15">
        <f>+F22-33528.44</f>
        <v>171.61868072799552</v>
      </c>
      <c r="I22" s="15"/>
      <c r="J22" s="15"/>
    </row>
    <row r="23" spans="1:10" x14ac:dyDescent="0.2">
      <c r="A23" s="34"/>
      <c r="B23" s="1833" t="s">
        <v>3060</v>
      </c>
      <c r="C23" s="34"/>
      <c r="D23" s="10"/>
      <c r="E23" s="34" t="s">
        <v>768</v>
      </c>
      <c r="F23" s="1812">
        <f>+'28 &amp; 29'!D31</f>
        <v>-796.33742220639203</v>
      </c>
      <c r="G23" s="1812">
        <v>0</v>
      </c>
      <c r="H23" s="15"/>
      <c r="I23" s="15"/>
      <c r="J23" s="15"/>
    </row>
    <row r="24" spans="1:10" x14ac:dyDescent="0.2">
      <c r="A24" s="34">
        <v>5</v>
      </c>
      <c r="B24" s="36" t="s">
        <v>119</v>
      </c>
      <c r="C24" s="34"/>
      <c r="D24" s="10"/>
      <c r="E24" s="34"/>
      <c r="F24" s="1812">
        <f>+F11-F22-F23</f>
        <v>184.30994070401164</v>
      </c>
      <c r="G24" s="1812">
        <f>+G11-G22-G23+0.01</f>
        <v>-1033.1790070369991</v>
      </c>
      <c r="H24" s="15"/>
      <c r="I24" s="15"/>
      <c r="J24" s="15"/>
    </row>
    <row r="25" spans="1:10" x14ac:dyDescent="0.2">
      <c r="A25" s="34">
        <v>6</v>
      </c>
      <c r="B25" s="36" t="s">
        <v>109</v>
      </c>
      <c r="C25" s="34"/>
      <c r="D25" s="40"/>
      <c r="E25" s="34"/>
      <c r="F25" s="1816"/>
      <c r="G25" s="1825"/>
      <c r="H25" s="15"/>
      <c r="I25" s="15"/>
      <c r="J25" s="15"/>
    </row>
    <row r="26" spans="1:10" x14ac:dyDescent="0.2">
      <c r="A26" s="34"/>
      <c r="B26" s="34" t="s">
        <v>20</v>
      </c>
      <c r="C26" s="33" t="s">
        <v>110</v>
      </c>
      <c r="D26" s="10"/>
      <c r="E26" s="34">
        <v>29</v>
      </c>
      <c r="F26" s="42"/>
      <c r="G26" s="42"/>
      <c r="H26" s="15"/>
      <c r="I26" s="15"/>
      <c r="J26" s="15"/>
    </row>
    <row r="27" spans="1:10" x14ac:dyDescent="0.2">
      <c r="A27" s="34"/>
      <c r="B27" s="34" t="s">
        <v>21</v>
      </c>
      <c r="C27" s="33" t="s">
        <v>70</v>
      </c>
      <c r="D27" s="10"/>
      <c r="E27" s="34"/>
      <c r="F27" s="42">
        <f>+SUM('28 &amp; 29'!D39)+'28 &amp; 29'!D40</f>
        <v>139.29269189999999</v>
      </c>
      <c r="G27" s="42">
        <f>+SUM('28 &amp; 29'!E39+'28 &amp; 29'!E40)</f>
        <v>-222.37967269999999</v>
      </c>
      <c r="H27" s="15"/>
      <c r="I27" s="15"/>
      <c r="J27" s="15"/>
    </row>
    <row r="28" spans="1:10" x14ac:dyDescent="0.2">
      <c r="A28" s="191">
        <v>7</v>
      </c>
      <c r="B28" s="1882" t="s">
        <v>120</v>
      </c>
      <c r="C28" s="1882"/>
      <c r="D28" s="1882"/>
      <c r="E28" s="34"/>
      <c r="F28" s="1826">
        <f>+F24-F26-F27</f>
        <v>45.017248804011643</v>
      </c>
      <c r="G28" s="1826">
        <f>+G24-G26-G27-0.02</f>
        <v>-810.81933433699908</v>
      </c>
      <c r="H28" s="15"/>
      <c r="I28" s="28"/>
      <c r="J28" s="28"/>
    </row>
    <row r="29" spans="1:10" x14ac:dyDescent="0.2">
      <c r="A29" s="34">
        <v>8</v>
      </c>
      <c r="B29" s="36" t="s">
        <v>111</v>
      </c>
      <c r="C29" s="34"/>
      <c r="D29" s="10"/>
      <c r="E29" s="34">
        <v>31</v>
      </c>
      <c r="F29" s="41"/>
      <c r="G29" s="41"/>
      <c r="H29" s="15"/>
      <c r="I29" s="25"/>
    </row>
    <row r="30" spans="1:10" x14ac:dyDescent="0.2">
      <c r="A30" s="34"/>
      <c r="B30" s="34" t="s">
        <v>20</v>
      </c>
      <c r="C30" s="1878" t="s">
        <v>49</v>
      </c>
      <c r="D30" s="1878"/>
      <c r="E30" s="34"/>
      <c r="F30" s="42">
        <f>+'BalanceSheet and P&amp;L 23-24'!D122</f>
        <v>6.4855479439952055E-2</v>
      </c>
      <c r="G30" s="42">
        <v>-0.30506224627725231</v>
      </c>
      <c r="H30" s="15"/>
      <c r="I30" s="29"/>
    </row>
    <row r="31" spans="1:10" x14ac:dyDescent="0.2">
      <c r="A31" s="34"/>
      <c r="B31" s="34" t="s">
        <v>21</v>
      </c>
      <c r="C31" s="33" t="s">
        <v>50</v>
      </c>
      <c r="D31" s="10"/>
      <c r="E31" s="34"/>
      <c r="F31" s="42">
        <f>+'BalanceSheet and P&amp;L 23-24'!D123</f>
        <v>6.4855479439952055E-2</v>
      </c>
      <c r="G31" s="42">
        <v>-0.30506224627725231</v>
      </c>
      <c r="H31" s="15"/>
      <c r="I31" s="29"/>
    </row>
    <row r="32" spans="1:10" x14ac:dyDescent="0.2">
      <c r="A32" s="10"/>
      <c r="B32" s="1879" t="str">
        <f>'Balance sheet'!B62</f>
        <v>The accompaning Notes are an integral part of financial statements</v>
      </c>
      <c r="C32" s="1879"/>
      <c r="D32" s="1879"/>
      <c r="E32" s="1879"/>
      <c r="F32" s="1879"/>
      <c r="G32" s="1879"/>
      <c r="I32" s="29"/>
    </row>
    <row r="34" spans="1:2" x14ac:dyDescent="0.2">
      <c r="A34" s="26" t="s">
        <v>378</v>
      </c>
      <c r="B34" s="27" t="s">
        <v>172</v>
      </c>
    </row>
    <row r="35" spans="1:2" x14ac:dyDescent="0.2">
      <c r="B35" s="27" t="s">
        <v>173</v>
      </c>
    </row>
    <row r="36" spans="1:2" x14ac:dyDescent="0.2">
      <c r="B36" s="3" t="s">
        <v>321</v>
      </c>
    </row>
  </sheetData>
  <mergeCells count="12">
    <mergeCell ref="C1:G1"/>
    <mergeCell ref="C30:D30"/>
    <mergeCell ref="B32:G32"/>
    <mergeCell ref="B6:D6"/>
    <mergeCell ref="B12:D12"/>
    <mergeCell ref="B28:D28"/>
    <mergeCell ref="C14:D14"/>
    <mergeCell ref="C13:D13"/>
    <mergeCell ref="C15:D15"/>
    <mergeCell ref="C16:D16"/>
    <mergeCell ref="C17:D17"/>
    <mergeCell ref="C18:D18"/>
  </mergeCells>
  <printOptions horizontalCentered="1"/>
  <pageMargins left="0.78740157480314965" right="0.39370078740157483" top="0.19685039370078741" bottom="0.19685039370078741" header="0.31496062992125984" footer="0.31496062992125984"/>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2:Q1595"/>
  <sheetViews>
    <sheetView workbookViewId="0">
      <selection activeCell="I33" sqref="I33"/>
    </sheetView>
  </sheetViews>
  <sheetFormatPr defaultColWidth="9.140625" defaultRowHeight="12.75" x14ac:dyDescent="0.2"/>
  <cols>
    <col min="1" max="1" width="10.5703125" style="835" customWidth="1"/>
    <col min="2" max="2" width="37.42578125" style="808" customWidth="1"/>
    <col min="3" max="3" width="21.42578125" style="1059" customWidth="1"/>
    <col min="4" max="4" width="21.5703125" style="1059" customWidth="1"/>
    <col min="5" max="5" width="20.42578125" style="911" customWidth="1"/>
    <col min="6" max="6" width="25.42578125" style="911" customWidth="1"/>
    <col min="7" max="7" width="19.5703125" style="836" bestFit="1" customWidth="1"/>
    <col min="8" max="8" width="15.140625" style="836" bestFit="1" customWidth="1"/>
    <col min="9" max="9" width="19.42578125" style="836" customWidth="1"/>
    <col min="10" max="10" width="17.42578125" style="836" bestFit="1" customWidth="1"/>
    <col min="11" max="11" width="13.140625" style="836" bestFit="1" customWidth="1"/>
    <col min="12" max="12" width="22.5703125" style="836" customWidth="1"/>
    <col min="13" max="13" width="20.140625" style="836" bestFit="1" customWidth="1"/>
    <col min="14" max="14" width="8.42578125" style="243" bestFit="1" customWidth="1"/>
    <col min="15" max="15" width="16" style="243" bestFit="1" customWidth="1"/>
    <col min="16" max="16" width="11.7109375" style="243" bestFit="1" customWidth="1"/>
    <col min="17" max="17" width="11.5703125" style="243" bestFit="1" customWidth="1"/>
    <col min="18" max="16384" width="9.140625" style="243"/>
  </cols>
  <sheetData>
    <row r="2" spans="1:13" x14ac:dyDescent="0.2">
      <c r="A2" s="831" t="s">
        <v>818</v>
      </c>
      <c r="B2" s="831"/>
      <c r="C2" s="832"/>
      <c r="D2" s="832"/>
      <c r="E2" s="833"/>
      <c r="F2" s="833"/>
      <c r="G2" s="834"/>
      <c r="H2" s="834"/>
      <c r="I2" s="834"/>
      <c r="J2" s="834"/>
      <c r="K2" s="834"/>
      <c r="L2" s="834"/>
      <c r="M2" s="834"/>
    </row>
    <row r="3" spans="1:13" x14ac:dyDescent="0.2">
      <c r="C3" s="1952" t="str">
        <f>+'[15]balance sheet P&amp;L'!D3</f>
        <v>31.03.2024</v>
      </c>
      <c r="D3" s="1952"/>
      <c r="E3" s="1953" t="str">
        <f>+'[15]balance sheet P&amp;L'!E3</f>
        <v>31.03.2023 (RESTATED)</v>
      </c>
      <c r="F3" s="1953"/>
      <c r="M3" s="837"/>
    </row>
    <row r="4" spans="1:13" x14ac:dyDescent="0.2">
      <c r="A4" s="838" t="s">
        <v>819</v>
      </c>
      <c r="B4" s="838" t="s">
        <v>6</v>
      </c>
      <c r="C4" s="839"/>
      <c r="D4" s="839" t="s">
        <v>1</v>
      </c>
      <c r="E4" s="840"/>
      <c r="F4" s="840" t="s">
        <v>1</v>
      </c>
      <c r="G4" s="1954"/>
      <c r="H4" s="1954"/>
      <c r="I4" s="1954"/>
      <c r="J4" s="1954"/>
      <c r="K4" s="841"/>
      <c r="L4" s="841"/>
      <c r="M4" s="841"/>
    </row>
    <row r="5" spans="1:13" x14ac:dyDescent="0.2">
      <c r="A5" s="842"/>
      <c r="B5" s="843"/>
      <c r="C5" s="844"/>
      <c r="D5" s="844"/>
      <c r="E5" s="845"/>
      <c r="F5" s="845"/>
      <c r="G5" s="846"/>
      <c r="H5" s="846"/>
      <c r="I5" s="846"/>
      <c r="J5" s="846"/>
      <c r="K5" s="846"/>
      <c r="L5" s="846"/>
      <c r="M5" s="846"/>
    </row>
    <row r="6" spans="1:13" x14ac:dyDescent="0.2">
      <c r="A6" s="842"/>
      <c r="B6" s="818"/>
      <c r="C6" s="847"/>
      <c r="D6" s="847"/>
      <c r="E6" s="848"/>
      <c r="F6" s="848"/>
    </row>
    <row r="7" spans="1:13" x14ac:dyDescent="0.2">
      <c r="A7" s="849" t="s">
        <v>820</v>
      </c>
      <c r="B7" s="850" t="s">
        <v>338</v>
      </c>
      <c r="C7" s="851"/>
      <c r="D7" s="847"/>
      <c r="E7" s="848"/>
      <c r="F7" s="848"/>
    </row>
    <row r="8" spans="1:13" x14ac:dyDescent="0.2">
      <c r="A8" s="818"/>
      <c r="B8" s="850" t="s">
        <v>821</v>
      </c>
      <c r="C8" s="851"/>
      <c r="D8" s="847"/>
      <c r="E8" s="848"/>
      <c r="F8" s="848"/>
    </row>
    <row r="9" spans="1:13" ht="15" x14ac:dyDescent="0.2">
      <c r="A9" s="842">
        <v>10101</v>
      </c>
      <c r="B9" s="818" t="s">
        <v>822</v>
      </c>
      <c r="C9" s="852">
        <f>+'[15]Input Sheet'!R6</f>
        <v>1688.5052793700002</v>
      </c>
      <c r="D9" s="853"/>
      <c r="E9" s="854">
        <v>1678.7517123700002</v>
      </c>
      <c r="F9" s="848"/>
    </row>
    <row r="10" spans="1:13" ht="15" x14ac:dyDescent="0.2">
      <c r="A10" s="842">
        <v>10102</v>
      </c>
      <c r="B10" s="818" t="s">
        <v>823</v>
      </c>
      <c r="C10" s="852">
        <f>+'[15]Input Sheet'!R7</f>
        <v>143.14205050000001</v>
      </c>
      <c r="D10" s="853"/>
      <c r="E10" s="854">
        <v>131.01774349999999</v>
      </c>
      <c r="F10" s="848"/>
    </row>
    <row r="11" spans="1:13" ht="15" x14ac:dyDescent="0.2">
      <c r="A11" s="842">
        <v>10201</v>
      </c>
      <c r="B11" s="818" t="s">
        <v>824</v>
      </c>
      <c r="C11" s="852">
        <f>+'[15]Input Sheet'!R8</f>
        <v>2037.7434004049999</v>
      </c>
      <c r="D11" s="853"/>
      <c r="E11" s="854">
        <v>2035.3038791610002</v>
      </c>
      <c r="F11" s="848"/>
    </row>
    <row r="12" spans="1:13" ht="15" x14ac:dyDescent="0.2">
      <c r="A12" s="842">
        <v>10202</v>
      </c>
      <c r="B12" s="818" t="s">
        <v>825</v>
      </c>
      <c r="C12" s="852">
        <f>+'[15]Input Sheet'!R9</f>
        <v>1578.8209273259999</v>
      </c>
      <c r="D12" s="853"/>
      <c r="E12" s="854">
        <v>1558.193879272</v>
      </c>
      <c r="F12" s="848"/>
    </row>
    <row r="13" spans="1:13" ht="15" x14ac:dyDescent="0.2">
      <c r="A13" s="842">
        <v>10301</v>
      </c>
      <c r="B13" s="818" t="s">
        <v>826</v>
      </c>
      <c r="C13" s="852">
        <f>+'[15]Input Sheet'!R10</f>
        <v>3831.0581395269996</v>
      </c>
      <c r="D13" s="853"/>
      <c r="E13" s="854">
        <v>3767.0572018599996</v>
      </c>
      <c r="F13" s="848"/>
    </row>
    <row r="14" spans="1:13" ht="15" x14ac:dyDescent="0.2">
      <c r="A14" s="842">
        <v>10401</v>
      </c>
      <c r="B14" s="818" t="s">
        <v>827</v>
      </c>
      <c r="C14" s="852">
        <f>+'[15]Input Sheet'!R11</f>
        <v>1738.0315736959999</v>
      </c>
      <c r="D14" s="853"/>
      <c r="E14" s="854">
        <v>1735.5792325299999</v>
      </c>
      <c r="F14" s="848"/>
    </row>
    <row r="15" spans="1:13" ht="15" x14ac:dyDescent="0.2">
      <c r="A15" s="842">
        <v>10402</v>
      </c>
      <c r="B15" s="818" t="s">
        <v>828</v>
      </c>
      <c r="C15" s="852">
        <f>+'[15]Input Sheet'!R12</f>
        <v>1420.4509139090001</v>
      </c>
      <c r="D15" s="853"/>
      <c r="E15" s="854">
        <f>1348.328281655+G15</f>
        <v>1348.2472745549999</v>
      </c>
      <c r="F15" s="848"/>
      <c r="G15" s="855">
        <f>+[15]restated!R60/10^7</f>
        <v>-8.1007099999999999E-2</v>
      </c>
    </row>
    <row r="16" spans="1:13" ht="15" x14ac:dyDescent="0.2">
      <c r="A16" s="842">
        <v>10501</v>
      </c>
      <c r="B16" s="818" t="s">
        <v>829</v>
      </c>
      <c r="C16" s="852">
        <f>+'[15]Input Sheet'!R13</f>
        <v>54474.830527757003</v>
      </c>
      <c r="D16" s="853"/>
      <c r="E16" s="854">
        <f>54035.748937204+G16</f>
        <v>54032.685248403999</v>
      </c>
      <c r="F16" s="848"/>
      <c r="G16" s="855">
        <f>+[15]restated!R61/10^7</f>
        <v>-3.0636888</v>
      </c>
    </row>
    <row r="17" spans="1:13" x14ac:dyDescent="0.2">
      <c r="A17" s="842">
        <v>10502</v>
      </c>
      <c r="B17" s="856" t="s">
        <v>830</v>
      </c>
      <c r="C17" s="852">
        <f>+'[15]Input Sheet'!R14</f>
        <v>0</v>
      </c>
      <c r="D17" s="853"/>
      <c r="E17" s="848">
        <v>0</v>
      </c>
      <c r="F17" s="848"/>
    </row>
    <row r="18" spans="1:13" x14ac:dyDescent="0.2">
      <c r="A18" s="842">
        <v>10503</v>
      </c>
      <c r="B18" s="856" t="s">
        <v>831</v>
      </c>
      <c r="C18" s="856">
        <f>+'[15]Input Sheet'!R15</f>
        <v>1.9999999999999999E-6</v>
      </c>
      <c r="D18" s="853"/>
      <c r="E18" s="848">
        <v>6.9999999999999997E-7</v>
      </c>
      <c r="F18" s="848"/>
    </row>
    <row r="19" spans="1:13" x14ac:dyDescent="0.2">
      <c r="A19" s="842">
        <v>10601</v>
      </c>
      <c r="B19" s="818" t="s">
        <v>832</v>
      </c>
      <c r="C19" s="852">
        <f>+'[15]Input Sheet'!R16</f>
        <v>844.83431689399993</v>
      </c>
      <c r="D19" s="853"/>
      <c r="E19" s="848">
        <v>841.91768669399994</v>
      </c>
      <c r="F19" s="848"/>
    </row>
    <row r="20" spans="1:13" x14ac:dyDescent="0.2">
      <c r="A20" s="842">
        <v>10701</v>
      </c>
      <c r="B20" s="818" t="s">
        <v>833</v>
      </c>
      <c r="C20" s="852">
        <f>+'[15]Input Sheet'!R17</f>
        <v>86.800481304000002</v>
      </c>
      <c r="D20" s="853"/>
      <c r="E20" s="848">
        <v>74.723972019000001</v>
      </c>
      <c r="F20" s="848"/>
    </row>
    <row r="21" spans="1:13" x14ac:dyDescent="0.2">
      <c r="A21" s="842">
        <v>10801</v>
      </c>
      <c r="B21" s="818" t="s">
        <v>834</v>
      </c>
      <c r="C21" s="852">
        <f>+'[15]Input Sheet'!R18</f>
        <v>56.418601990999996</v>
      </c>
      <c r="D21" s="853"/>
      <c r="E21" s="848">
        <v>55.107586427999998</v>
      </c>
      <c r="F21" s="848"/>
    </row>
    <row r="22" spans="1:13" x14ac:dyDescent="0.2">
      <c r="A22" s="842">
        <v>10901</v>
      </c>
      <c r="B22" s="818" t="s">
        <v>835</v>
      </c>
      <c r="C22" s="852">
        <f>+'[15]Input Sheet'!R19</f>
        <v>101.163747564</v>
      </c>
      <c r="D22" s="853"/>
      <c r="E22" s="848">
        <v>92.882042196</v>
      </c>
      <c r="F22" s="848"/>
    </row>
    <row r="23" spans="1:13" ht="25.5" x14ac:dyDescent="0.2">
      <c r="A23" s="842">
        <v>10902</v>
      </c>
      <c r="B23" s="857" t="s">
        <v>836</v>
      </c>
      <c r="C23" s="852">
        <f>+'[15]Input Sheet'!R20</f>
        <v>86.980283909999997</v>
      </c>
      <c r="D23" s="853"/>
      <c r="E23" s="848">
        <v>86.980283909999997</v>
      </c>
      <c r="F23" s="848"/>
    </row>
    <row r="24" spans="1:13" x14ac:dyDescent="0.2">
      <c r="A24" s="842">
        <v>10903</v>
      </c>
      <c r="B24" s="856" t="s">
        <v>837</v>
      </c>
      <c r="C24" s="852">
        <f>+'[15]Input Sheet'!R21</f>
        <v>0</v>
      </c>
      <c r="D24" s="853"/>
      <c r="E24" s="848">
        <v>0</v>
      </c>
      <c r="F24" s="848"/>
    </row>
    <row r="25" spans="1:13" x14ac:dyDescent="0.2">
      <c r="A25" s="842">
        <v>10960</v>
      </c>
      <c r="B25" s="856" t="s">
        <v>838</v>
      </c>
      <c r="C25" s="852">
        <f>+'[15]Input Sheet'!R22</f>
        <v>0</v>
      </c>
      <c r="D25" s="853"/>
      <c r="E25" s="848">
        <v>0</v>
      </c>
      <c r="F25" s="848"/>
    </row>
    <row r="26" spans="1:13" ht="15.75" x14ac:dyDescent="0.2">
      <c r="A26" s="842"/>
      <c r="B26" s="858" t="s">
        <v>7</v>
      </c>
      <c r="C26" s="859">
        <f>SUM(C9:C25)</f>
        <v>68088.780246153008</v>
      </c>
      <c r="D26" s="860">
        <f>SUM(C9:C25)</f>
        <v>68088.780246153008</v>
      </c>
      <c r="E26" s="859">
        <f>SUM(E9:E25)</f>
        <v>67438.447743598997</v>
      </c>
      <c r="F26" s="861">
        <f>SUM(E9:E25)</f>
        <v>67438.447743598997</v>
      </c>
      <c r="G26" s="862"/>
      <c r="H26" s="862"/>
      <c r="I26" s="862"/>
      <c r="J26" s="862"/>
      <c r="L26" s="862"/>
      <c r="M26" s="862"/>
    </row>
    <row r="27" spans="1:13" x14ac:dyDescent="0.2">
      <c r="A27" s="842"/>
      <c r="B27" s="850" t="s">
        <v>839</v>
      </c>
      <c r="C27" s="861"/>
      <c r="D27" s="852"/>
      <c r="E27" s="848"/>
      <c r="F27" s="848"/>
    </row>
    <row r="28" spans="1:13" x14ac:dyDescent="0.2">
      <c r="A28" s="842">
        <v>12102</v>
      </c>
      <c r="B28" s="818" t="s">
        <v>840</v>
      </c>
      <c r="C28" s="852">
        <f>+'[15]Input Sheet'!R39</f>
        <v>65.484672329999995</v>
      </c>
      <c r="D28" s="852"/>
      <c r="E28" s="848">
        <f>60.33779795+G28</f>
        <v>60.823546350000001</v>
      </c>
      <c r="F28" s="848"/>
      <c r="G28" s="855">
        <f>[15]restated!R50/10^7</f>
        <v>0.48574840000000002</v>
      </c>
    </row>
    <row r="29" spans="1:13" x14ac:dyDescent="0.2">
      <c r="A29" s="842">
        <v>12201</v>
      </c>
      <c r="B29" s="818" t="s">
        <v>841</v>
      </c>
      <c r="C29" s="852">
        <f>+'[15]Input Sheet'!R40</f>
        <v>1389.4576817059999</v>
      </c>
      <c r="D29" s="852"/>
      <c r="E29" s="848">
        <v>1350.951315716</v>
      </c>
      <c r="F29" s="848"/>
    </row>
    <row r="30" spans="1:13" x14ac:dyDescent="0.2">
      <c r="A30" s="842">
        <v>12202</v>
      </c>
      <c r="B30" s="818" t="s">
        <v>842</v>
      </c>
      <c r="C30" s="852">
        <f>+'[15]Input Sheet'!R41</f>
        <v>862.55874646799998</v>
      </c>
      <c r="D30" s="852"/>
      <c r="E30" s="848">
        <f>831.244586956+G30</f>
        <v>831.38331485600008</v>
      </c>
      <c r="F30" s="848"/>
      <c r="G30" s="855">
        <f>[15]restated!R51/10^7</f>
        <v>0.13872789999999999</v>
      </c>
    </row>
    <row r="31" spans="1:13" x14ac:dyDescent="0.2">
      <c r="A31" s="842">
        <v>12301</v>
      </c>
      <c r="B31" s="818" t="s">
        <v>843</v>
      </c>
      <c r="C31" s="852">
        <f>+'[15]Input Sheet'!R42</f>
        <v>2306.2884858810003</v>
      </c>
      <c r="D31" s="852"/>
      <c r="E31" s="848">
        <f>2171.483321887+G31</f>
        <v>2171.8912502869998</v>
      </c>
      <c r="F31" s="848"/>
      <c r="G31" s="855">
        <f>[15]restated!R52/10^7</f>
        <v>0.40792840000000002</v>
      </c>
    </row>
    <row r="32" spans="1:13" x14ac:dyDescent="0.2">
      <c r="A32" s="842">
        <v>12401</v>
      </c>
      <c r="B32" s="818" t="s">
        <v>844</v>
      </c>
      <c r="C32" s="852">
        <f>+'[15]Input Sheet'!R43</f>
        <v>919.91042525900002</v>
      </c>
      <c r="D32" s="852"/>
      <c r="E32" s="848">
        <v>874.45816697900011</v>
      </c>
      <c r="F32" s="848"/>
    </row>
    <row r="33" spans="1:13" x14ac:dyDescent="0.2">
      <c r="A33" s="842">
        <v>12402</v>
      </c>
      <c r="B33" s="818" t="s">
        <v>845</v>
      </c>
      <c r="C33" s="852">
        <f>+'[15]Input Sheet'!R44</f>
        <v>468.08216623500005</v>
      </c>
      <c r="D33" s="852"/>
      <c r="E33" s="848">
        <f>422.426370095+G33</f>
        <v>422.445252095</v>
      </c>
      <c r="F33" s="848"/>
      <c r="G33" s="855">
        <f>[15]restated!R53/10^7</f>
        <v>1.8881999999999999E-2</v>
      </c>
    </row>
    <row r="34" spans="1:13" x14ac:dyDescent="0.2">
      <c r="A34" s="842">
        <v>12501</v>
      </c>
      <c r="B34" s="818" t="s">
        <v>846</v>
      </c>
      <c r="C34" s="852">
        <f>+'[15]Input Sheet'!R45</f>
        <v>32079.496102151003</v>
      </c>
      <c r="D34" s="852"/>
      <c r="E34" s="848">
        <f>29990.825415802+G34</f>
        <v>29995.470166979998</v>
      </c>
      <c r="F34" s="848"/>
      <c r="G34" s="855">
        <f>[15]restated!R54/10^7</f>
        <v>4.6447511779999999</v>
      </c>
    </row>
    <row r="35" spans="1:13" x14ac:dyDescent="0.2">
      <c r="A35" s="842">
        <v>12502</v>
      </c>
      <c r="B35" s="856" t="s">
        <v>847</v>
      </c>
      <c r="C35" s="852">
        <f>+'[15]Input Sheet'!R46</f>
        <v>0</v>
      </c>
      <c r="D35" s="852"/>
      <c r="E35" s="848">
        <v>0</v>
      </c>
      <c r="F35" s="848"/>
    </row>
    <row r="36" spans="1:13" x14ac:dyDescent="0.2">
      <c r="A36" s="863">
        <v>12503</v>
      </c>
      <c r="B36" s="856" t="s">
        <v>848</v>
      </c>
      <c r="C36" s="852">
        <f>+'[15]Input Sheet'!R47</f>
        <v>0</v>
      </c>
      <c r="D36" s="852"/>
      <c r="E36" s="848"/>
      <c r="F36" s="848"/>
    </row>
    <row r="37" spans="1:13" x14ac:dyDescent="0.2">
      <c r="A37" s="842">
        <v>12601</v>
      </c>
      <c r="B37" s="818" t="s">
        <v>849</v>
      </c>
      <c r="C37" s="852">
        <f>+'[15]Input Sheet'!R48</f>
        <v>545.66200671400009</v>
      </c>
      <c r="D37" s="852"/>
      <c r="E37" s="848">
        <v>518.73213405199999</v>
      </c>
      <c r="F37" s="848"/>
    </row>
    <row r="38" spans="1:13" x14ac:dyDescent="0.2">
      <c r="A38" s="842">
        <v>12701</v>
      </c>
      <c r="B38" s="818" t="s">
        <v>850</v>
      </c>
      <c r="C38" s="852">
        <f>+'[15]Input Sheet'!R49</f>
        <v>34.189408188000002</v>
      </c>
      <c r="D38" s="852"/>
      <c r="E38" s="848">
        <v>28.613181192000003</v>
      </c>
      <c r="F38" s="848"/>
    </row>
    <row r="39" spans="1:13" x14ac:dyDescent="0.2">
      <c r="A39" s="842">
        <v>12801</v>
      </c>
      <c r="B39" s="818" t="s">
        <v>851</v>
      </c>
      <c r="C39" s="852">
        <f>+'[15]Input Sheet'!R50</f>
        <v>37.970289285</v>
      </c>
      <c r="D39" s="852"/>
      <c r="E39" s="848">
        <v>35.527038404999999</v>
      </c>
      <c r="F39" s="848"/>
    </row>
    <row r="40" spans="1:13" x14ac:dyDescent="0.2">
      <c r="A40" s="842">
        <v>12901</v>
      </c>
      <c r="B40" s="818" t="s">
        <v>852</v>
      </c>
      <c r="C40" s="852">
        <f>+'[15]Input Sheet'!R51</f>
        <v>60.656325121000002</v>
      </c>
      <c r="D40" s="852"/>
      <c r="E40" s="848">
        <f>51.966004622+G40</f>
        <v>51.978306021999998</v>
      </c>
      <c r="F40" s="848"/>
      <c r="G40" s="855">
        <f>[15]restated!R55/10^7</f>
        <v>1.2301400000000001E-2</v>
      </c>
      <c r="H40" s="864">
        <f>SUM(G28:G40)</f>
        <v>5.7083392780000004</v>
      </c>
    </row>
    <row r="41" spans="1:13" x14ac:dyDescent="0.2">
      <c r="A41" s="842">
        <v>12902</v>
      </c>
      <c r="B41" s="818" t="s">
        <v>853</v>
      </c>
      <c r="C41" s="852">
        <f>+'[15]Input Sheet'!R52</f>
        <v>65.637013776000003</v>
      </c>
      <c r="D41" s="852"/>
      <c r="E41" s="848">
        <v>64.514075070000004</v>
      </c>
      <c r="F41" s="848"/>
    </row>
    <row r="42" spans="1:13" ht="15" x14ac:dyDescent="0.2">
      <c r="A42" s="842">
        <v>12903</v>
      </c>
      <c r="B42" s="865" t="s">
        <v>854</v>
      </c>
      <c r="C42" s="852">
        <f>+'[15]Input Sheet'!R53</f>
        <v>0</v>
      </c>
      <c r="D42" s="852"/>
      <c r="E42" s="848">
        <v>0</v>
      </c>
      <c r="F42" s="848"/>
    </row>
    <row r="43" spans="1:13" ht="15.75" x14ac:dyDescent="0.2">
      <c r="A43" s="842"/>
      <c r="B43" s="858" t="s">
        <v>7</v>
      </c>
      <c r="C43" s="859">
        <f>SUM(C28:C42)</f>
        <v>38835.393323114011</v>
      </c>
      <c r="D43" s="861">
        <f>SUM(C28:C42)</f>
        <v>38835.393323114011</v>
      </c>
      <c r="E43" s="866">
        <f>SUM(E28:E42)</f>
        <v>36406.787748003997</v>
      </c>
      <c r="F43" s="867">
        <f>SUM(E28:E42)</f>
        <v>36406.787748003997</v>
      </c>
      <c r="M43" s="862"/>
    </row>
    <row r="44" spans="1:13" ht="13.5" thickBot="1" x14ac:dyDescent="0.25">
      <c r="A44" s="818"/>
      <c r="B44" s="868" t="s">
        <v>855</v>
      </c>
      <c r="C44" s="869"/>
      <c r="D44" s="870">
        <f>D26-D43-D89</f>
        <v>29253.386923038997</v>
      </c>
      <c r="E44" s="871"/>
      <c r="F44" s="870">
        <f>F26-F43-F89</f>
        <v>31031.659995595001</v>
      </c>
      <c r="M44" s="862"/>
    </row>
    <row r="45" spans="1:13" ht="13.5" thickTop="1" x14ac:dyDescent="0.2">
      <c r="A45" s="842"/>
      <c r="B45" s="818"/>
      <c r="C45" s="852"/>
      <c r="D45" s="861"/>
      <c r="E45" s="872"/>
      <c r="F45" s="873"/>
      <c r="M45" s="862"/>
    </row>
    <row r="46" spans="1:13" x14ac:dyDescent="0.2">
      <c r="A46" s="849" t="s">
        <v>856</v>
      </c>
      <c r="B46" s="850" t="s">
        <v>857</v>
      </c>
      <c r="C46" s="852"/>
      <c r="D46" s="860"/>
      <c r="E46" s="874"/>
      <c r="F46" s="874"/>
      <c r="M46" s="862"/>
    </row>
    <row r="47" spans="1:13" x14ac:dyDescent="0.2">
      <c r="A47" s="875">
        <v>10962</v>
      </c>
      <c r="B47" s="856" t="s">
        <v>857</v>
      </c>
      <c r="C47" s="852">
        <f>'[15]Input Sheet'!R24</f>
        <v>4566.1381804000002</v>
      </c>
      <c r="D47" s="853"/>
      <c r="E47" s="848">
        <v>4439.6468180000002</v>
      </c>
      <c r="F47" s="874"/>
    </row>
    <row r="48" spans="1:13" x14ac:dyDescent="0.2">
      <c r="A48" s="875">
        <f>'[15]Input Sheet'!D56</f>
        <v>12962</v>
      </c>
      <c r="B48" s="852" t="s">
        <v>858</v>
      </c>
      <c r="C48" s="852">
        <f>'[15]Input Sheet'!R56</f>
        <v>1277.9622855</v>
      </c>
      <c r="D48" s="852"/>
      <c r="E48" s="848">
        <v>1020.4094346000001</v>
      </c>
      <c r="F48" s="874"/>
    </row>
    <row r="49" spans="1:13" ht="13.5" thickBot="1" x14ac:dyDescent="0.25">
      <c r="A49" s="842"/>
      <c r="B49" s="868" t="s">
        <v>859</v>
      </c>
      <c r="C49" s="869">
        <f>C47-C48</f>
        <v>3288.1758949000005</v>
      </c>
      <c r="D49" s="870">
        <f>C47-C48</f>
        <v>3288.1758949000005</v>
      </c>
      <c r="E49" s="869">
        <f>E47-E48</f>
        <v>3419.2373834</v>
      </c>
      <c r="F49" s="870">
        <f>E47-E48</f>
        <v>3419.2373834</v>
      </c>
    </row>
    <row r="50" spans="1:13" ht="13.5" thickTop="1" x14ac:dyDescent="0.2">
      <c r="A50" s="842"/>
      <c r="B50" s="850"/>
      <c r="C50" s="861"/>
      <c r="D50" s="861"/>
      <c r="E50" s="876"/>
      <c r="F50" s="876"/>
    </row>
    <row r="51" spans="1:13" x14ac:dyDescent="0.2">
      <c r="A51" s="849" t="s">
        <v>860</v>
      </c>
      <c r="B51" s="850" t="s">
        <v>861</v>
      </c>
      <c r="C51" s="861"/>
      <c r="D51" s="852"/>
      <c r="E51" s="874"/>
      <c r="F51" s="874"/>
      <c r="M51" s="862"/>
    </row>
    <row r="52" spans="1:13" x14ac:dyDescent="0.2">
      <c r="A52" s="875">
        <v>10961</v>
      </c>
      <c r="B52" s="818" t="s">
        <v>862</v>
      </c>
      <c r="C52" s="852">
        <f>+'[15]Input Sheet'!R23</f>
        <v>56.304839141999999</v>
      </c>
      <c r="D52" s="852"/>
      <c r="E52" s="874">
        <v>56.245604590999996</v>
      </c>
      <c r="F52" s="874"/>
    </row>
    <row r="53" spans="1:13" x14ac:dyDescent="0.2">
      <c r="A53" s="875">
        <v>12961</v>
      </c>
      <c r="B53" s="818" t="s">
        <v>863</v>
      </c>
      <c r="C53" s="852">
        <f>+'[15]Input Sheet'!R55</f>
        <v>53.831879380999993</v>
      </c>
      <c r="D53" s="852"/>
      <c r="E53" s="874">
        <v>51.951534522999999</v>
      </c>
      <c r="F53" s="874"/>
    </row>
    <row r="54" spans="1:13" ht="13.5" thickBot="1" x14ac:dyDescent="0.25">
      <c r="A54" s="842"/>
      <c r="B54" s="868" t="s">
        <v>864</v>
      </c>
      <c r="C54" s="869">
        <f>C52-C53</f>
        <v>2.4729597610000056</v>
      </c>
      <c r="D54" s="870">
        <f>C54</f>
        <v>2.4729597610000056</v>
      </c>
      <c r="E54" s="869">
        <f>E52-E53</f>
        <v>4.2940700679999964</v>
      </c>
      <c r="F54" s="870">
        <f>E54</f>
        <v>4.2940700679999964</v>
      </c>
      <c r="M54" s="862"/>
    </row>
    <row r="55" spans="1:13" ht="13.5" thickTop="1" x14ac:dyDescent="0.2">
      <c r="A55" s="842"/>
      <c r="B55" s="850"/>
      <c r="C55" s="861"/>
      <c r="D55" s="852"/>
      <c r="E55" s="874"/>
      <c r="F55" s="874"/>
      <c r="M55" s="862"/>
    </row>
    <row r="56" spans="1:13" x14ac:dyDescent="0.2">
      <c r="A56" s="849" t="s">
        <v>865</v>
      </c>
      <c r="B56" s="850" t="s">
        <v>866</v>
      </c>
      <c r="C56" s="861"/>
      <c r="D56" s="852"/>
      <c r="E56" s="874"/>
      <c r="F56" s="874"/>
      <c r="M56" s="862"/>
    </row>
    <row r="57" spans="1:13" x14ac:dyDescent="0.2">
      <c r="A57" s="842"/>
      <c r="B57" s="850" t="s">
        <v>867</v>
      </c>
      <c r="C57" s="861"/>
      <c r="D57" s="852"/>
      <c r="E57" s="874"/>
      <c r="F57" s="874"/>
    </row>
    <row r="58" spans="1:13" ht="30" x14ac:dyDescent="0.2">
      <c r="A58" s="842">
        <v>11100</v>
      </c>
      <c r="B58" s="877" t="s">
        <v>868</v>
      </c>
      <c r="C58" s="878">
        <f>+'[15]Input Sheet'!R25</f>
        <v>0</v>
      </c>
      <c r="D58" s="852"/>
      <c r="E58" s="874">
        <v>0</v>
      </c>
      <c r="F58" s="874"/>
    </row>
    <row r="59" spans="1:13" x14ac:dyDescent="0.2">
      <c r="A59" s="842">
        <v>11101</v>
      </c>
      <c r="B59" s="879" t="s">
        <v>822</v>
      </c>
      <c r="C59" s="880"/>
      <c r="D59" s="852"/>
      <c r="E59" s="874"/>
      <c r="F59" s="874"/>
    </row>
    <row r="60" spans="1:13" x14ac:dyDescent="0.2">
      <c r="A60" s="842">
        <v>11102</v>
      </c>
      <c r="B60" s="818" t="s">
        <v>823</v>
      </c>
      <c r="C60" s="852">
        <f>+'[15]Input Sheet'!R26</f>
        <v>0</v>
      </c>
      <c r="D60" s="852"/>
      <c r="E60" s="874">
        <v>0</v>
      </c>
      <c r="F60" s="874"/>
    </row>
    <row r="61" spans="1:13" x14ac:dyDescent="0.2">
      <c r="A61" s="842">
        <v>11201</v>
      </c>
      <c r="B61" s="818" t="s">
        <v>824</v>
      </c>
      <c r="C61" s="852">
        <f>+'[15]Input Sheet'!R27</f>
        <v>3.6909646</v>
      </c>
      <c r="D61" s="852"/>
      <c r="E61" s="874">
        <v>12.603990329</v>
      </c>
      <c r="F61" s="874"/>
    </row>
    <row r="62" spans="1:13" x14ac:dyDescent="0.2">
      <c r="A62" s="842">
        <v>11202</v>
      </c>
      <c r="B62" s="818" t="s">
        <v>825</v>
      </c>
      <c r="C62" s="852">
        <f>+'[15]Input Sheet'!R28</f>
        <v>0.61987220899999995</v>
      </c>
      <c r="D62" s="852"/>
      <c r="E62" s="874">
        <v>7.4501800889999998</v>
      </c>
      <c r="F62" s="874"/>
    </row>
    <row r="63" spans="1:13" x14ac:dyDescent="0.2">
      <c r="A63" s="842">
        <v>11301</v>
      </c>
      <c r="B63" s="818" t="s">
        <v>826</v>
      </c>
      <c r="C63" s="852">
        <f>+'[15]Input Sheet'!R29</f>
        <v>8.1627478139999994</v>
      </c>
      <c r="D63" s="852"/>
      <c r="E63" s="874">
        <v>86.898214598999999</v>
      </c>
      <c r="F63" s="874"/>
    </row>
    <row r="64" spans="1:13" x14ac:dyDescent="0.2">
      <c r="A64" s="842">
        <v>11401</v>
      </c>
      <c r="B64" s="818" t="s">
        <v>827</v>
      </c>
      <c r="C64" s="852">
        <f>+'[15]Input Sheet'!R30</f>
        <v>12.813927629</v>
      </c>
      <c r="D64" s="852"/>
      <c r="E64" s="874">
        <v>12.813927629</v>
      </c>
      <c r="F64" s="874"/>
    </row>
    <row r="65" spans="1:13" x14ac:dyDescent="0.2">
      <c r="A65" s="842">
        <v>11402</v>
      </c>
      <c r="B65" s="818" t="s">
        <v>828</v>
      </c>
      <c r="C65" s="852">
        <f>+'[15]Input Sheet'!R31</f>
        <v>0.14868919999999999</v>
      </c>
      <c r="D65" s="852"/>
      <c r="E65" s="874">
        <v>4.8626668479999999</v>
      </c>
      <c r="F65" s="874"/>
    </row>
    <row r="66" spans="1:13" x14ac:dyDescent="0.2">
      <c r="A66" s="842">
        <v>11501</v>
      </c>
      <c r="B66" s="818" t="s">
        <v>829</v>
      </c>
      <c r="C66" s="852">
        <f>+'[15]Input Sheet'!R32</f>
        <v>401.00267121100001</v>
      </c>
      <c r="D66" s="852"/>
      <c r="E66" s="874">
        <v>1085.0955059830001</v>
      </c>
      <c r="F66" s="874"/>
    </row>
    <row r="67" spans="1:13" x14ac:dyDescent="0.2">
      <c r="A67" s="842">
        <v>11601</v>
      </c>
      <c r="B67" s="818" t="s">
        <v>832</v>
      </c>
      <c r="C67" s="852">
        <f>+'[15]Input Sheet'!R33</f>
        <v>3.3453912649999999</v>
      </c>
      <c r="D67" s="852"/>
      <c r="E67" s="874">
        <v>4.4639498639999999</v>
      </c>
      <c r="F67" s="874"/>
    </row>
    <row r="68" spans="1:13" x14ac:dyDescent="0.2">
      <c r="A68" s="842">
        <v>11701</v>
      </c>
      <c r="B68" s="818" t="s">
        <v>833</v>
      </c>
      <c r="C68" s="852">
        <f>+'[15]Input Sheet'!R34</f>
        <v>2.474240725</v>
      </c>
      <c r="D68" s="852"/>
      <c r="E68" s="874">
        <v>3.1365620230000002</v>
      </c>
      <c r="F68" s="874"/>
    </row>
    <row r="69" spans="1:13" x14ac:dyDescent="0.2">
      <c r="A69" s="842">
        <v>11801</v>
      </c>
      <c r="B69" s="818" t="s">
        <v>834</v>
      </c>
      <c r="C69" s="852">
        <f>+'[15]Input Sheet'!R35</f>
        <v>0.77516288099999997</v>
      </c>
      <c r="D69" s="852"/>
      <c r="E69" s="874">
        <v>1.403081271</v>
      </c>
      <c r="F69" s="874"/>
    </row>
    <row r="70" spans="1:13" x14ac:dyDescent="0.2">
      <c r="A70" s="842">
        <v>11901</v>
      </c>
      <c r="B70" s="818" t="s">
        <v>835</v>
      </c>
      <c r="C70" s="852">
        <f>+'[15]Input Sheet'!R36</f>
        <v>2.8010901010000002</v>
      </c>
      <c r="D70" s="852"/>
      <c r="E70" s="874">
        <v>4.4971767690000002</v>
      </c>
      <c r="F70" s="874"/>
    </row>
    <row r="71" spans="1:13" x14ac:dyDescent="0.2">
      <c r="A71" s="842">
        <v>11902</v>
      </c>
      <c r="B71" s="856" t="s">
        <v>869</v>
      </c>
      <c r="C71" s="852">
        <f>+'[15]Input Sheet'!R37</f>
        <v>0.44461519999999999</v>
      </c>
      <c r="D71" s="852"/>
      <c r="E71" s="874">
        <v>0.44461519999999999</v>
      </c>
      <c r="F71" s="874"/>
    </row>
    <row r="72" spans="1:13" x14ac:dyDescent="0.2">
      <c r="A72" s="842">
        <v>11961</v>
      </c>
      <c r="B72" s="856" t="s">
        <v>870</v>
      </c>
      <c r="C72" s="852">
        <f>+'[15]Input Sheet'!R38</f>
        <v>0</v>
      </c>
      <c r="D72" s="852"/>
      <c r="E72" s="874">
        <v>0</v>
      </c>
      <c r="F72" s="874"/>
    </row>
    <row r="73" spans="1:13" ht="15.75" x14ac:dyDescent="0.2">
      <c r="A73" s="842"/>
      <c r="B73" s="858" t="s">
        <v>7</v>
      </c>
      <c r="C73" s="859">
        <f>SUM(C58:C72)</f>
        <v>436.27937283499995</v>
      </c>
      <c r="D73" s="861">
        <f>SUM(C58:C72)</f>
        <v>436.27937283499995</v>
      </c>
      <c r="E73" s="859">
        <f>SUM(E58:E72)</f>
        <v>1223.6698706039999</v>
      </c>
      <c r="F73" s="876">
        <f>SUM(E58:E72)</f>
        <v>1223.6698706039999</v>
      </c>
      <c r="M73" s="862"/>
    </row>
    <row r="74" spans="1:13" x14ac:dyDescent="0.2">
      <c r="A74" s="842"/>
      <c r="B74" s="818"/>
      <c r="C74" s="852"/>
      <c r="D74" s="852"/>
      <c r="E74" s="874"/>
      <c r="F74" s="874"/>
    </row>
    <row r="75" spans="1:13" x14ac:dyDescent="0.2">
      <c r="A75" s="842"/>
      <c r="B75" s="850" t="s">
        <v>871</v>
      </c>
      <c r="C75" s="861"/>
      <c r="D75" s="852"/>
      <c r="E75" s="874"/>
      <c r="F75" s="874"/>
    </row>
    <row r="76" spans="1:13" x14ac:dyDescent="0.2">
      <c r="A76" s="842">
        <v>13102</v>
      </c>
      <c r="B76" s="818" t="s">
        <v>840</v>
      </c>
      <c r="C76" s="852">
        <f>+'[15]Input Sheet'!R57</f>
        <v>0</v>
      </c>
      <c r="D76" s="852"/>
      <c r="E76" s="874">
        <v>0</v>
      </c>
      <c r="F76" s="874"/>
    </row>
    <row r="77" spans="1:13" x14ac:dyDescent="0.2">
      <c r="A77" s="842">
        <v>13201</v>
      </c>
      <c r="B77" s="818" t="s">
        <v>841</v>
      </c>
      <c r="C77" s="852">
        <f>+'[15]Input Sheet'!R58</f>
        <v>3.3202314100000003</v>
      </c>
      <c r="D77" s="852"/>
      <c r="E77" s="874">
        <v>10.943974465</v>
      </c>
      <c r="F77" s="874"/>
    </row>
    <row r="78" spans="1:13" x14ac:dyDescent="0.2">
      <c r="A78" s="842">
        <v>13202</v>
      </c>
      <c r="B78" s="818" t="s">
        <v>842</v>
      </c>
      <c r="C78" s="852">
        <f>+'[15]Input Sheet'!R59</f>
        <v>0.53872428899999991</v>
      </c>
      <c r="D78" s="852"/>
      <c r="E78" s="874">
        <v>6.5721391650000003</v>
      </c>
      <c r="F78" s="874"/>
    </row>
    <row r="79" spans="1:13" x14ac:dyDescent="0.2">
      <c r="A79" s="842">
        <v>13301</v>
      </c>
      <c r="B79" s="818" t="s">
        <v>843</v>
      </c>
      <c r="C79" s="852">
        <f>+'[15]Input Sheet'!R60</f>
        <v>7.2531033389999999</v>
      </c>
      <c r="D79" s="852"/>
      <c r="E79" s="874">
        <v>77.865547253999992</v>
      </c>
      <c r="F79" s="874"/>
    </row>
    <row r="80" spans="1:13" x14ac:dyDescent="0.2">
      <c r="A80" s="842">
        <v>13401</v>
      </c>
      <c r="B80" s="818" t="s">
        <v>844</v>
      </c>
      <c r="C80" s="852">
        <f>+'[15]Input Sheet'!R61</f>
        <v>9.0118232850000002</v>
      </c>
      <c r="D80" s="852"/>
      <c r="E80" s="874">
        <v>9.0118232850000002</v>
      </c>
      <c r="F80" s="874"/>
    </row>
    <row r="81" spans="1:13" x14ac:dyDescent="0.2">
      <c r="A81" s="842">
        <v>13402</v>
      </c>
      <c r="B81" s="818" t="s">
        <v>845</v>
      </c>
      <c r="C81" s="852">
        <f>+'[15]Input Sheet'!R62</f>
        <v>4.7483600000000001E-2</v>
      </c>
      <c r="D81" s="852"/>
      <c r="E81" s="874">
        <v>4.2900636969999999</v>
      </c>
      <c r="F81" s="874"/>
    </row>
    <row r="82" spans="1:13" x14ac:dyDescent="0.2">
      <c r="A82" s="842">
        <v>13501</v>
      </c>
      <c r="B82" s="818" t="s">
        <v>846</v>
      </c>
      <c r="C82" s="852">
        <f>+'[15]Input Sheet'!R63</f>
        <v>346.71464363299998</v>
      </c>
      <c r="D82" s="852"/>
      <c r="E82" s="874">
        <v>961.17367607900007</v>
      </c>
      <c r="F82" s="874"/>
    </row>
    <row r="83" spans="1:13" x14ac:dyDescent="0.2">
      <c r="A83" s="842">
        <v>13601</v>
      </c>
      <c r="B83" s="818" t="s">
        <v>849</v>
      </c>
      <c r="C83" s="852">
        <f>+'[15]Input Sheet'!R64</f>
        <v>2.6458154329999997</v>
      </c>
      <c r="D83" s="852"/>
      <c r="E83" s="874">
        <v>3.6525181719999997</v>
      </c>
      <c r="F83" s="874"/>
    </row>
    <row r="84" spans="1:13" x14ac:dyDescent="0.2">
      <c r="A84" s="842">
        <v>13701</v>
      </c>
      <c r="B84" s="818" t="s">
        <v>850</v>
      </c>
      <c r="C84" s="852">
        <f>+'[15]Input Sheet'!R65</f>
        <v>2.2268172910000001</v>
      </c>
      <c r="D84" s="852"/>
      <c r="E84" s="874">
        <v>2.8229065090000001</v>
      </c>
      <c r="F84" s="874"/>
    </row>
    <row r="85" spans="1:13" x14ac:dyDescent="0.2">
      <c r="A85" s="842">
        <v>13801</v>
      </c>
      <c r="B85" s="818" t="s">
        <v>851</v>
      </c>
      <c r="C85" s="852">
        <f>+'[15]Input Sheet'!R66</f>
        <v>0.69740196100000007</v>
      </c>
      <c r="D85" s="852"/>
      <c r="E85" s="874">
        <v>1.262557876</v>
      </c>
      <c r="F85" s="874"/>
    </row>
    <row r="86" spans="1:13" x14ac:dyDescent="0.2">
      <c r="A86" s="842">
        <v>13901</v>
      </c>
      <c r="B86" s="818" t="s">
        <v>852</v>
      </c>
      <c r="C86" s="852">
        <f>+'[15]Input Sheet'!R67</f>
        <v>2.5020758459999999</v>
      </c>
      <c r="D86" s="852"/>
      <c r="E86" s="874">
        <v>4.0401801930000003</v>
      </c>
      <c r="F86" s="874"/>
    </row>
    <row r="87" spans="1:13" x14ac:dyDescent="0.2">
      <c r="A87" s="842">
        <v>13902</v>
      </c>
      <c r="B87" s="818" t="s">
        <v>853</v>
      </c>
      <c r="C87" s="852">
        <f>+'[15]Input Sheet'!R68</f>
        <v>0.40015367999999996</v>
      </c>
      <c r="D87" s="852"/>
      <c r="E87" s="874">
        <v>0.40015367999999996</v>
      </c>
      <c r="F87" s="874"/>
    </row>
    <row r="88" spans="1:13" x14ac:dyDescent="0.2">
      <c r="A88" s="842">
        <v>13961</v>
      </c>
      <c r="B88" s="856" t="s">
        <v>872</v>
      </c>
      <c r="C88" s="852">
        <f>+'[15]Input Sheet'!M69</f>
        <v>0</v>
      </c>
      <c r="D88" s="852"/>
      <c r="E88" s="874">
        <v>0</v>
      </c>
      <c r="F88" s="874"/>
    </row>
    <row r="89" spans="1:13" x14ac:dyDescent="0.2">
      <c r="A89" s="842">
        <v>46961</v>
      </c>
      <c r="B89" s="818" t="s">
        <v>873</v>
      </c>
      <c r="C89" s="852">
        <f>'[15]Input Sheet'!R721</f>
        <v>18.734084325000001</v>
      </c>
      <c r="D89" s="861"/>
      <c r="E89" s="848">
        <v>22.086150316999998</v>
      </c>
      <c r="F89" s="848"/>
    </row>
    <row r="90" spans="1:13" ht="15.75" x14ac:dyDescent="0.2">
      <c r="A90" s="842"/>
      <c r="B90" s="858" t="s">
        <v>7</v>
      </c>
      <c r="C90" s="859">
        <f>SUM(C76:C89)</f>
        <v>394.09235809200004</v>
      </c>
      <c r="D90" s="861">
        <f>SUM(C76:C89)</f>
        <v>394.09235809200004</v>
      </c>
      <c r="E90" s="859">
        <f>SUM(E76:E89)</f>
        <v>1104.1216906919999</v>
      </c>
      <c r="F90" s="861">
        <f>SUM(E76:E89)</f>
        <v>1104.1216906919999</v>
      </c>
      <c r="M90" s="862"/>
    </row>
    <row r="91" spans="1:13" x14ac:dyDescent="0.2">
      <c r="A91" s="881"/>
      <c r="B91" s="882" t="s">
        <v>874</v>
      </c>
      <c r="C91" s="883"/>
      <c r="D91" s="884">
        <f>D73-D90</f>
        <v>42.187014742999907</v>
      </c>
      <c r="E91" s="883"/>
      <c r="F91" s="885">
        <f>F73-F90</f>
        <v>119.54817991200002</v>
      </c>
      <c r="M91" s="862"/>
    </row>
    <row r="92" spans="1:13" x14ac:dyDescent="0.2">
      <c r="A92" s="886"/>
      <c r="B92" s="887"/>
      <c r="C92" s="888"/>
      <c r="D92" s="888"/>
      <c r="E92" s="874"/>
      <c r="F92" s="874"/>
    </row>
    <row r="93" spans="1:13" x14ac:dyDescent="0.2">
      <c r="A93" s="842"/>
      <c r="B93" s="818"/>
      <c r="C93" s="852"/>
      <c r="D93" s="852"/>
      <c r="E93" s="874"/>
      <c r="F93" s="874"/>
    </row>
    <row r="94" spans="1:13" x14ac:dyDescent="0.2">
      <c r="A94" s="849" t="s">
        <v>875</v>
      </c>
      <c r="B94" s="850" t="s">
        <v>876</v>
      </c>
      <c r="C94" s="861"/>
      <c r="D94" s="861"/>
      <c r="E94" s="889"/>
      <c r="F94" s="889"/>
      <c r="G94" s="862"/>
      <c r="H94" s="862"/>
      <c r="I94" s="862"/>
      <c r="J94" s="862"/>
      <c r="K94" s="862"/>
      <c r="L94" s="862"/>
      <c r="M94" s="862"/>
    </row>
    <row r="95" spans="1:13" x14ac:dyDescent="0.2">
      <c r="A95" s="842"/>
      <c r="B95" s="850" t="s">
        <v>877</v>
      </c>
      <c r="C95" s="861"/>
      <c r="D95" s="852"/>
      <c r="E95" s="874"/>
      <c r="F95" s="874"/>
    </row>
    <row r="96" spans="1:13" x14ac:dyDescent="0.2">
      <c r="A96" s="842">
        <v>14001</v>
      </c>
      <c r="B96" s="818" t="s">
        <v>878</v>
      </c>
      <c r="C96" s="852">
        <f>+'[15]Input Sheet'!R70</f>
        <v>60.055837828999998</v>
      </c>
      <c r="D96" s="852"/>
      <c r="E96" s="874">
        <v>53.848957425999998</v>
      </c>
      <c r="F96" s="874"/>
    </row>
    <row r="97" spans="1:7" x14ac:dyDescent="0.2">
      <c r="A97" s="842">
        <v>14101</v>
      </c>
      <c r="B97" s="818" t="s">
        <v>879</v>
      </c>
      <c r="C97" s="852">
        <f>+'[15]Input Sheet'!R71</f>
        <v>0</v>
      </c>
      <c r="D97" s="852"/>
      <c r="E97" s="874">
        <v>0</v>
      </c>
      <c r="F97" s="874"/>
    </row>
    <row r="98" spans="1:7" x14ac:dyDescent="0.2">
      <c r="A98" s="842">
        <v>14102</v>
      </c>
      <c r="B98" s="818" t="s">
        <v>880</v>
      </c>
      <c r="C98" s="852">
        <f>+'[15]Input Sheet'!R72</f>
        <v>0</v>
      </c>
      <c r="D98" s="852"/>
      <c r="E98" s="874">
        <v>0</v>
      </c>
      <c r="F98" s="874"/>
    </row>
    <row r="99" spans="1:7" x14ac:dyDescent="0.2">
      <c r="A99" s="842">
        <v>14201</v>
      </c>
      <c r="B99" s="818" t="s">
        <v>881</v>
      </c>
      <c r="C99" s="852">
        <f>+'[15]Input Sheet'!R73</f>
        <v>1833.9005844999999</v>
      </c>
      <c r="D99" s="852"/>
      <c r="E99" s="874">
        <v>1570.1811338749999</v>
      </c>
      <c r="F99" s="874"/>
    </row>
    <row r="100" spans="1:7" x14ac:dyDescent="0.2">
      <c r="A100" s="842">
        <v>14202</v>
      </c>
      <c r="B100" s="818" t="s">
        <v>882</v>
      </c>
      <c r="C100" s="852">
        <f>+'[15]Input Sheet'!R74</f>
        <v>38.533076436999998</v>
      </c>
      <c r="D100" s="852"/>
      <c r="E100" s="874">
        <v>32.422510976999995</v>
      </c>
      <c r="F100" s="874"/>
    </row>
    <row r="101" spans="1:7" x14ac:dyDescent="0.2">
      <c r="A101" s="842">
        <v>14301</v>
      </c>
      <c r="B101" s="818" t="s">
        <v>883</v>
      </c>
      <c r="C101" s="852">
        <f>+'[15]Input Sheet'!R75</f>
        <v>0</v>
      </c>
      <c r="D101" s="852"/>
      <c r="E101" s="874">
        <v>0</v>
      </c>
      <c r="F101" s="874"/>
    </row>
    <row r="102" spans="1:7" x14ac:dyDescent="0.2">
      <c r="A102" s="842">
        <v>14401</v>
      </c>
      <c r="B102" s="818" t="s">
        <v>884</v>
      </c>
      <c r="C102" s="852">
        <f>+'[15]Input Sheet'!R76</f>
        <v>11.134706362000001</v>
      </c>
      <c r="D102" s="852"/>
      <c r="E102" s="874">
        <v>5.5679882899999997</v>
      </c>
      <c r="F102" s="874"/>
    </row>
    <row r="103" spans="1:7" x14ac:dyDescent="0.2">
      <c r="A103" s="842">
        <v>14402</v>
      </c>
      <c r="B103" s="818" t="s">
        <v>885</v>
      </c>
      <c r="C103" s="852">
        <f>+'[15]Input Sheet'!R77</f>
        <v>20.055489347999998</v>
      </c>
      <c r="D103" s="852"/>
      <c r="E103" s="874">
        <v>18.465584227000001</v>
      </c>
      <c r="F103" s="874"/>
    </row>
    <row r="104" spans="1:7" x14ac:dyDescent="0.2">
      <c r="A104" s="842">
        <v>14501</v>
      </c>
      <c r="B104" s="818" t="s">
        <v>886</v>
      </c>
      <c r="C104" s="852">
        <f>+'[15]Input Sheet'!R78</f>
        <v>5292.1955257469999</v>
      </c>
      <c r="D104" s="852"/>
      <c r="E104" s="874">
        <f>4178.447845925+G104</f>
        <v>4141.9004840980006</v>
      </c>
      <c r="F104" s="874"/>
      <c r="G104" s="855">
        <f>(+[15]restated!R62+[15]restated!R63)/10^7</f>
        <v>-36.547361827000003</v>
      </c>
    </row>
    <row r="105" spans="1:7" x14ac:dyDescent="0.2">
      <c r="A105" s="842">
        <v>14502</v>
      </c>
      <c r="B105" s="856" t="s">
        <v>887</v>
      </c>
      <c r="C105" s="852">
        <f>+'[15]Input Sheet'!R79</f>
        <v>0</v>
      </c>
      <c r="D105" s="852"/>
      <c r="E105" s="874">
        <v>0</v>
      </c>
      <c r="F105" s="874"/>
    </row>
    <row r="106" spans="1:7" x14ac:dyDescent="0.2">
      <c r="A106" s="842">
        <v>14601</v>
      </c>
      <c r="B106" s="818" t="s">
        <v>888</v>
      </c>
      <c r="C106" s="852">
        <f>+'[15]Input Sheet'!R80</f>
        <v>0</v>
      </c>
      <c r="D106" s="852"/>
      <c r="E106" s="874">
        <v>0</v>
      </c>
      <c r="F106" s="874"/>
    </row>
    <row r="107" spans="1:7" x14ac:dyDescent="0.2">
      <c r="A107" s="842">
        <v>14701</v>
      </c>
      <c r="B107" s="818" t="s">
        <v>889</v>
      </c>
      <c r="C107" s="852">
        <f>+'[15]Input Sheet'!R81</f>
        <v>2.8999999999999998E-8</v>
      </c>
      <c r="D107" s="852"/>
      <c r="E107" s="874">
        <v>5.2600000000000002E-7</v>
      </c>
      <c r="F107" s="874"/>
    </row>
    <row r="108" spans="1:7" x14ac:dyDescent="0.2">
      <c r="A108" s="842">
        <v>14801</v>
      </c>
      <c r="B108" s="818" t="s">
        <v>890</v>
      </c>
      <c r="C108" s="852">
        <f>+'[15]Input Sheet'!R82</f>
        <v>2.0000000000000001E-9</v>
      </c>
      <c r="D108" s="852"/>
      <c r="E108" s="874">
        <v>8.9999999999999999E-8</v>
      </c>
      <c r="F108" s="874"/>
    </row>
    <row r="109" spans="1:7" x14ac:dyDescent="0.2">
      <c r="A109" s="842">
        <v>14901</v>
      </c>
      <c r="B109" s="818" t="s">
        <v>891</v>
      </c>
      <c r="C109" s="852">
        <f>+'[15]Input Sheet'!R83</f>
        <v>3.8388345180000001</v>
      </c>
      <c r="D109" s="852"/>
      <c r="E109" s="874">
        <v>0.83898524800000007</v>
      </c>
      <c r="F109" s="874"/>
    </row>
    <row r="110" spans="1:7" ht="15.75" x14ac:dyDescent="0.2">
      <c r="A110" s="842"/>
      <c r="B110" s="858" t="s">
        <v>7</v>
      </c>
      <c r="C110" s="890">
        <f>SUM(C96:C109)</f>
        <v>7259.7140547720001</v>
      </c>
      <c r="D110" s="891">
        <f>SUM(C96:C109)</f>
        <v>7259.7140547720001</v>
      </c>
      <c r="E110" s="890">
        <f>SUM(E96:E109)</f>
        <v>5823.2256447570007</v>
      </c>
      <c r="F110" s="892">
        <f>SUM(E96:E109)</f>
        <v>5823.2256447570007</v>
      </c>
    </row>
    <row r="111" spans="1:7" x14ac:dyDescent="0.2">
      <c r="A111" s="842"/>
      <c r="B111" s="893"/>
      <c r="C111" s="852"/>
      <c r="D111" s="852"/>
      <c r="E111" s="874"/>
      <c r="F111" s="874"/>
    </row>
    <row r="112" spans="1:7" x14ac:dyDescent="0.2">
      <c r="A112" s="842">
        <v>46962</v>
      </c>
      <c r="B112" s="893" t="s">
        <v>873</v>
      </c>
      <c r="C112" s="852"/>
      <c r="D112" s="861">
        <f>-'[15]Input Sheet'!R722</f>
        <v>-64.614504539999999</v>
      </c>
      <c r="E112" s="874"/>
      <c r="F112" s="874">
        <v>-65.934250626999997</v>
      </c>
    </row>
    <row r="113" spans="1:13" ht="13.5" thickBot="1" x14ac:dyDescent="0.25">
      <c r="A113" s="842"/>
      <c r="B113" s="868" t="s">
        <v>892</v>
      </c>
      <c r="C113" s="869"/>
      <c r="D113" s="870">
        <f>D110+D112</f>
        <v>7195.0995502320002</v>
      </c>
      <c r="E113" s="874"/>
      <c r="F113" s="894">
        <f>F110+F112</f>
        <v>5757.2913941300003</v>
      </c>
    </row>
    <row r="114" spans="1:13" ht="13.5" thickTop="1" x14ac:dyDescent="0.2">
      <c r="A114" s="842"/>
      <c r="B114" s="818"/>
      <c r="C114" s="852"/>
      <c r="D114" s="852"/>
      <c r="E114" s="874"/>
      <c r="F114" s="874"/>
    </row>
    <row r="115" spans="1:13" x14ac:dyDescent="0.2">
      <c r="A115" s="842">
        <v>14961</v>
      </c>
      <c r="B115" s="868" t="s">
        <v>893</v>
      </c>
      <c r="C115" s="869"/>
      <c r="D115" s="852">
        <f>'[15]Input Sheet'!R85</f>
        <v>642.07934182600002</v>
      </c>
      <c r="E115" s="874"/>
      <c r="F115" s="874">
        <v>574.16186102100005</v>
      </c>
    </row>
    <row r="116" spans="1:13" x14ac:dyDescent="0.2">
      <c r="A116" s="842"/>
      <c r="B116" s="818"/>
      <c r="C116" s="852"/>
      <c r="D116" s="852"/>
      <c r="E116" s="874"/>
      <c r="F116" s="874"/>
    </row>
    <row r="117" spans="1:13" x14ac:dyDescent="0.2">
      <c r="A117" s="849" t="s">
        <v>353</v>
      </c>
      <c r="B117" s="850" t="s">
        <v>894</v>
      </c>
      <c r="C117" s="861"/>
      <c r="D117" s="861"/>
      <c r="E117" s="889"/>
      <c r="F117" s="889"/>
      <c r="G117" s="862"/>
      <c r="H117" s="862"/>
      <c r="I117" s="862"/>
      <c r="J117" s="862"/>
      <c r="K117" s="862"/>
      <c r="L117" s="862"/>
      <c r="M117" s="862"/>
    </row>
    <row r="118" spans="1:13" x14ac:dyDescent="0.2">
      <c r="A118" s="842"/>
      <c r="B118" s="818" t="s">
        <v>895</v>
      </c>
      <c r="C118" s="852"/>
      <c r="D118" s="852"/>
      <c r="E118" s="874"/>
      <c r="F118" s="874"/>
    </row>
    <row r="119" spans="1:13" ht="25.5" x14ac:dyDescent="0.2">
      <c r="A119" s="842">
        <v>20001</v>
      </c>
      <c r="B119" s="895" t="s">
        <v>896</v>
      </c>
      <c r="C119" s="896"/>
      <c r="D119" s="852">
        <f>'[15]Input Sheet'!R87</f>
        <v>0.05</v>
      </c>
      <c r="E119" s="874"/>
      <c r="F119" s="874">
        <v>0.05</v>
      </c>
    </row>
    <row r="120" spans="1:13" x14ac:dyDescent="0.2">
      <c r="A120" s="842">
        <v>20002</v>
      </c>
      <c r="B120" s="897" t="s">
        <v>897</v>
      </c>
      <c r="C120" s="898"/>
      <c r="D120" s="852">
        <f>'[15]Input Sheet'!R88</f>
        <v>0.05</v>
      </c>
      <c r="E120" s="874"/>
      <c r="F120" s="874">
        <v>0.05</v>
      </c>
    </row>
    <row r="121" spans="1:13" x14ac:dyDescent="0.2">
      <c r="A121" s="842">
        <v>20201</v>
      </c>
      <c r="B121" s="897" t="s">
        <v>898</v>
      </c>
      <c r="C121" s="898"/>
      <c r="D121" s="852">
        <f>'[15]Input Sheet'!R89</f>
        <v>0.03</v>
      </c>
      <c r="E121" s="874"/>
      <c r="F121" s="874">
        <v>0.03</v>
      </c>
    </row>
    <row r="122" spans="1:13" x14ac:dyDescent="0.2">
      <c r="A122" s="842">
        <v>20202</v>
      </c>
      <c r="B122" s="897" t="s">
        <v>899</v>
      </c>
      <c r="C122" s="898"/>
      <c r="D122" s="852">
        <f>'[15]Input Sheet'!R90</f>
        <v>0.03</v>
      </c>
      <c r="E122" s="874"/>
      <c r="F122" s="874">
        <v>0.03</v>
      </c>
    </row>
    <row r="123" spans="1:13" x14ac:dyDescent="0.2">
      <c r="A123" s="842">
        <v>20203</v>
      </c>
      <c r="B123" s="818" t="s">
        <v>900</v>
      </c>
      <c r="C123" s="880"/>
      <c r="D123" s="852">
        <f>'[15]Input Sheet'!R91</f>
        <v>0</v>
      </c>
      <c r="E123" s="874"/>
      <c r="F123" s="874">
        <v>0</v>
      </c>
    </row>
    <row r="124" spans="1:13" x14ac:dyDescent="0.2">
      <c r="A124" s="856">
        <v>20204</v>
      </c>
      <c r="B124" s="818" t="s">
        <v>901</v>
      </c>
      <c r="C124" s="899"/>
      <c r="D124" s="852">
        <f>'[15]Input Sheet'!R92</f>
        <v>0.52</v>
      </c>
      <c r="E124" s="874"/>
      <c r="F124" s="874">
        <v>0.52</v>
      </c>
    </row>
    <row r="125" spans="1:13" x14ac:dyDescent="0.2">
      <c r="A125" s="842">
        <v>20501</v>
      </c>
      <c r="B125" s="818" t="s">
        <v>902</v>
      </c>
      <c r="C125" s="880"/>
      <c r="D125" s="900">
        <f>'[15]Input Sheet'!R93</f>
        <v>0</v>
      </c>
      <c r="E125" s="874"/>
      <c r="F125" s="901">
        <v>0</v>
      </c>
    </row>
    <row r="126" spans="1:13" ht="15.75" x14ac:dyDescent="0.2">
      <c r="A126" s="842"/>
      <c r="B126" s="858" t="s">
        <v>903</v>
      </c>
      <c r="C126" s="859"/>
      <c r="D126" s="852">
        <f>SUM(D119:D125)</f>
        <v>0.68</v>
      </c>
      <c r="E126" s="874"/>
      <c r="F126" s="874">
        <f>SUM(F119:F125)</f>
        <v>0.68</v>
      </c>
    </row>
    <row r="127" spans="1:13" x14ac:dyDescent="0.2">
      <c r="A127" s="842"/>
      <c r="B127" s="818"/>
      <c r="C127" s="852"/>
      <c r="D127" s="852"/>
      <c r="E127" s="874"/>
      <c r="F127" s="874"/>
    </row>
    <row r="128" spans="1:13" x14ac:dyDescent="0.2">
      <c r="A128" s="842"/>
      <c r="B128" s="850" t="s">
        <v>904</v>
      </c>
      <c r="C128" s="852"/>
      <c r="D128" s="852"/>
      <c r="E128" s="874"/>
      <c r="F128" s="874"/>
    </row>
    <row r="129" spans="1:10" ht="25.5" x14ac:dyDescent="0.2">
      <c r="A129" s="842">
        <v>26001</v>
      </c>
      <c r="B129" s="902" t="s">
        <v>905</v>
      </c>
      <c r="C129" s="903"/>
      <c r="D129" s="852">
        <f>'[15]Input Sheet'!R481</f>
        <v>2.0998617039999998</v>
      </c>
      <c r="E129" s="874" t="s">
        <v>710</v>
      </c>
      <c r="F129" s="874">
        <v>1.8209302000000001</v>
      </c>
    </row>
    <row r="130" spans="1:10" x14ac:dyDescent="0.2">
      <c r="A130" s="842">
        <v>26002</v>
      </c>
      <c r="B130" s="902" t="s">
        <v>554</v>
      </c>
      <c r="C130" s="903"/>
      <c r="D130" s="852">
        <f>'[15]Input Sheet'!R482</f>
        <v>6.200139429</v>
      </c>
      <c r="E130" s="874" t="s">
        <v>710</v>
      </c>
      <c r="F130" s="874">
        <v>6.1968694289999995</v>
      </c>
      <c r="H130" s="904"/>
    </row>
    <row r="131" spans="1:10" x14ac:dyDescent="0.2">
      <c r="A131" s="842">
        <v>26003</v>
      </c>
      <c r="B131" s="902" t="s">
        <v>906</v>
      </c>
      <c r="C131" s="903"/>
      <c r="D131" s="852">
        <f>'[15]Input Sheet'!R483</f>
        <v>0</v>
      </c>
      <c r="E131" s="874" t="s">
        <v>710</v>
      </c>
      <c r="F131" s="874">
        <v>0</v>
      </c>
      <c r="H131" s="904"/>
    </row>
    <row r="132" spans="1:10" ht="15" x14ac:dyDescent="0.2">
      <c r="A132" s="905">
        <v>26005</v>
      </c>
      <c r="B132" s="865" t="s">
        <v>907</v>
      </c>
      <c r="C132" s="906"/>
      <c r="D132" s="852">
        <f>'[15]Input Sheet'!R485</f>
        <v>0</v>
      </c>
      <c r="E132" s="874" t="s">
        <v>710</v>
      </c>
      <c r="F132" s="874">
        <v>0</v>
      </c>
      <c r="H132" s="904"/>
    </row>
    <row r="133" spans="1:10" x14ac:dyDescent="0.2">
      <c r="A133" s="842">
        <v>26201</v>
      </c>
      <c r="B133" s="902" t="s">
        <v>555</v>
      </c>
      <c r="C133" s="903"/>
      <c r="D133" s="852">
        <f>'[15]Input Sheet'!R486</f>
        <v>0.55589999999999995</v>
      </c>
      <c r="E133" s="874" t="s">
        <v>710</v>
      </c>
      <c r="F133" s="874">
        <v>0.46325</v>
      </c>
      <c r="H133" s="904"/>
    </row>
    <row r="134" spans="1:10" x14ac:dyDescent="0.2">
      <c r="A134" s="842">
        <v>26202</v>
      </c>
      <c r="B134" s="902" t="s">
        <v>556</v>
      </c>
      <c r="C134" s="903"/>
      <c r="D134" s="852">
        <f>'[15]Input Sheet'!R487</f>
        <v>41.253665754000004</v>
      </c>
      <c r="E134" s="874" t="s">
        <v>710</v>
      </c>
      <c r="F134" s="874">
        <v>41.093311154000006</v>
      </c>
      <c r="H134" s="904"/>
    </row>
    <row r="135" spans="1:10" ht="15" x14ac:dyDescent="0.2">
      <c r="A135" s="905">
        <v>26203</v>
      </c>
      <c r="B135" s="865" t="s">
        <v>908</v>
      </c>
      <c r="C135" s="906"/>
      <c r="D135" s="852">
        <f>'[15]Input Sheet'!R488</f>
        <v>0</v>
      </c>
      <c r="E135" s="874" t="s">
        <v>710</v>
      </c>
      <c r="F135" s="874">
        <v>0</v>
      </c>
    </row>
    <row r="136" spans="1:10" ht="15.75" x14ac:dyDescent="0.2">
      <c r="A136" s="842"/>
      <c r="B136" s="858" t="s">
        <v>909</v>
      </c>
      <c r="C136" s="859"/>
      <c r="D136" s="891">
        <f>SUM(D129:D135)</f>
        <v>50.109566887</v>
      </c>
      <c r="E136" s="874"/>
      <c r="F136" s="892">
        <f>SUM(F129:F135)</f>
        <v>49.574360783000003</v>
      </c>
    </row>
    <row r="137" spans="1:10" x14ac:dyDescent="0.2">
      <c r="A137" s="842"/>
      <c r="B137" s="818"/>
      <c r="C137" s="852"/>
      <c r="D137" s="852"/>
      <c r="E137" s="874"/>
      <c r="F137" s="874"/>
    </row>
    <row r="138" spans="1:10" ht="25.5" x14ac:dyDescent="0.2">
      <c r="A138" s="842"/>
      <c r="B138" s="902" t="s">
        <v>910</v>
      </c>
      <c r="C138" s="903"/>
      <c r="D138" s="852"/>
      <c r="E138" s="874"/>
      <c r="F138" s="874"/>
    </row>
    <row r="139" spans="1:10" x14ac:dyDescent="0.2">
      <c r="A139" s="842">
        <v>27901</v>
      </c>
      <c r="B139" s="902" t="s">
        <v>554</v>
      </c>
      <c r="C139" s="903">
        <f>+'[15]Input Sheet'!R514-SUM(C140:C141)-SUM(C146:C148)</f>
        <v>6.2001394289999956</v>
      </c>
      <c r="D139" s="852"/>
      <c r="E139" s="874">
        <v>6.1968694289999924</v>
      </c>
      <c r="F139" s="874"/>
    </row>
    <row r="140" spans="1:10" x14ac:dyDescent="0.2">
      <c r="A140" s="842">
        <v>27901</v>
      </c>
      <c r="B140" s="902" t="s">
        <v>555</v>
      </c>
      <c r="C140" s="903">
        <f>0.46325+0.09265</f>
        <v>0.55589999999999995</v>
      </c>
      <c r="D140" s="852"/>
      <c r="E140" s="874">
        <v>0.46325</v>
      </c>
      <c r="F140" s="874"/>
    </row>
    <row r="141" spans="1:10" x14ac:dyDescent="0.2">
      <c r="A141" s="842">
        <v>27901</v>
      </c>
      <c r="B141" s="902" t="s">
        <v>556</v>
      </c>
      <c r="C141" s="903">
        <f>D134</f>
        <v>41.253665754000004</v>
      </c>
      <c r="D141" s="852"/>
      <c r="E141" s="874">
        <v>41.093311154000006</v>
      </c>
      <c r="F141" s="874"/>
    </row>
    <row r="142" spans="1:10" x14ac:dyDescent="0.2">
      <c r="A142" s="842"/>
      <c r="B142" s="902"/>
      <c r="C142" s="903"/>
      <c r="D142" s="852"/>
      <c r="E142" s="874"/>
      <c r="F142" s="874"/>
    </row>
    <row r="143" spans="1:10" ht="15.75" x14ac:dyDescent="0.2">
      <c r="A143" s="842"/>
      <c r="B143" s="858" t="s">
        <v>559</v>
      </c>
      <c r="C143" s="890">
        <f>SUM(C139:C142)</f>
        <v>48.009705183000001</v>
      </c>
      <c r="D143" s="891">
        <f>SUM(C139:C142)</f>
        <v>48.009705183000001</v>
      </c>
      <c r="E143" s="890">
        <f>SUM(E139:E142)</f>
        <v>47.753430582999997</v>
      </c>
      <c r="F143" s="892">
        <f>SUM(E139:E142)</f>
        <v>47.753430582999997</v>
      </c>
      <c r="J143" s="862"/>
    </row>
    <row r="144" spans="1:10" x14ac:dyDescent="0.2">
      <c r="A144" s="842"/>
      <c r="B144" s="818"/>
      <c r="C144" s="852"/>
      <c r="D144" s="861"/>
      <c r="E144" s="874"/>
      <c r="F144" s="874"/>
      <c r="J144" s="862"/>
    </row>
    <row r="145" spans="1:13" ht="25.5" x14ac:dyDescent="0.2">
      <c r="A145" s="842"/>
      <c r="B145" s="902" t="s">
        <v>911</v>
      </c>
      <c r="C145" s="903"/>
      <c r="D145" s="852"/>
      <c r="E145" s="874"/>
      <c r="F145" s="874"/>
    </row>
    <row r="146" spans="1:13" x14ac:dyDescent="0.2">
      <c r="A146" s="842">
        <v>27901</v>
      </c>
      <c r="B146" s="902" t="s">
        <v>554</v>
      </c>
      <c r="C146" s="903">
        <f>D120</f>
        <v>0.05</v>
      </c>
      <c r="D146" s="852"/>
      <c r="E146" s="874">
        <v>0.05</v>
      </c>
      <c r="F146" s="874"/>
    </row>
    <row r="147" spans="1:13" x14ac:dyDescent="0.2">
      <c r="A147" s="842">
        <v>27901</v>
      </c>
      <c r="B147" s="902" t="s">
        <v>555</v>
      </c>
      <c r="C147" s="903">
        <f>D121</f>
        <v>0.03</v>
      </c>
      <c r="D147" s="852"/>
      <c r="E147" s="874">
        <v>0.03</v>
      </c>
      <c r="F147" s="874"/>
    </row>
    <row r="148" spans="1:13" x14ac:dyDescent="0.2">
      <c r="A148" s="842">
        <v>27901</v>
      </c>
      <c r="B148" s="902" t="s">
        <v>556</v>
      </c>
      <c r="C148" s="903">
        <f>D122</f>
        <v>0.03</v>
      </c>
      <c r="D148" s="852"/>
      <c r="E148" s="874">
        <v>0.03</v>
      </c>
      <c r="F148" s="874"/>
    </row>
    <row r="149" spans="1:13" ht="15.75" x14ac:dyDescent="0.2">
      <c r="A149" s="842"/>
      <c r="B149" s="858" t="s">
        <v>912</v>
      </c>
      <c r="C149" s="859">
        <f>SUM(C146:C148)</f>
        <v>0.11</v>
      </c>
      <c r="D149" s="861">
        <f>SUM(C146:C148)</f>
        <v>0.11</v>
      </c>
      <c r="E149" s="859">
        <f>SUM(E146:E148)</f>
        <v>0.11</v>
      </c>
      <c r="F149" s="876">
        <f>SUM(E146:E148)</f>
        <v>0.11</v>
      </c>
      <c r="J149" s="862"/>
    </row>
    <row r="150" spans="1:13" ht="16.5" thickBot="1" x14ac:dyDescent="0.25">
      <c r="A150" s="842"/>
      <c r="B150" s="907" t="s">
        <v>913</v>
      </c>
      <c r="C150" s="908"/>
      <c r="D150" s="870">
        <f>D126+D136-D143-D149</f>
        <v>2.6698617039999983</v>
      </c>
      <c r="E150" s="908"/>
      <c r="F150" s="894">
        <f>F126+F136-F143-F149</f>
        <v>2.3909302000000063</v>
      </c>
      <c r="J150" s="862"/>
    </row>
    <row r="151" spans="1:13" ht="13.5" thickTop="1" x14ac:dyDescent="0.2">
      <c r="A151" s="842"/>
      <c r="B151" s="902"/>
      <c r="C151" s="903"/>
      <c r="D151" s="861"/>
      <c r="E151" s="874"/>
      <c r="F151" s="874"/>
      <c r="J151" s="862"/>
    </row>
    <row r="152" spans="1:13" x14ac:dyDescent="0.2">
      <c r="A152" s="849" t="s">
        <v>914</v>
      </c>
      <c r="B152" s="850" t="s">
        <v>915</v>
      </c>
      <c r="C152" s="861"/>
      <c r="D152" s="861"/>
      <c r="E152" s="889"/>
      <c r="F152" s="889"/>
      <c r="G152" s="862"/>
      <c r="H152" s="862"/>
      <c r="I152" s="862"/>
      <c r="J152" s="862"/>
      <c r="K152" s="862"/>
      <c r="L152" s="862"/>
      <c r="M152" s="862"/>
    </row>
    <row r="153" spans="1:13" x14ac:dyDescent="0.2">
      <c r="A153" s="842">
        <v>25101</v>
      </c>
      <c r="B153" s="909" t="s">
        <v>916</v>
      </c>
      <c r="C153" s="910">
        <f>'[15]Input Sheet'!R477</f>
        <v>0</v>
      </c>
      <c r="D153" s="852"/>
      <c r="E153" s="874">
        <v>0</v>
      </c>
      <c r="F153" s="874"/>
    </row>
    <row r="154" spans="1:13" x14ac:dyDescent="0.2">
      <c r="A154" s="842">
        <v>25102</v>
      </c>
      <c r="B154" s="909" t="s">
        <v>917</v>
      </c>
      <c r="C154" s="910">
        <f>'[15]Input Sheet'!R478</f>
        <v>53.935233199999999</v>
      </c>
      <c r="D154" s="852"/>
      <c r="E154" s="874">
        <v>50.636203999999999</v>
      </c>
      <c r="F154" s="874"/>
    </row>
    <row r="155" spans="1:13" x14ac:dyDescent="0.2">
      <c r="A155" s="842">
        <v>25103</v>
      </c>
      <c r="B155" s="909" t="s">
        <v>918</v>
      </c>
      <c r="C155" s="910">
        <f>'[15]Input Sheet'!R479</f>
        <v>0</v>
      </c>
      <c r="D155" s="852"/>
      <c r="E155" s="874">
        <v>40.57</v>
      </c>
    </row>
    <row r="156" spans="1:13" x14ac:dyDescent="0.2">
      <c r="A156" s="912">
        <v>25104</v>
      </c>
      <c r="B156" s="909" t="s">
        <v>919</v>
      </c>
      <c r="C156" s="913">
        <f>'[15]Input Sheet'!R480</f>
        <v>100</v>
      </c>
      <c r="D156" s="852"/>
      <c r="E156" s="874"/>
      <c r="F156" s="874"/>
    </row>
    <row r="157" spans="1:13" ht="13.5" thickBot="1" x14ac:dyDescent="0.25">
      <c r="A157" s="842"/>
      <c r="B157" s="914"/>
      <c r="C157" s="915">
        <f>SUM(C153:C156)</f>
        <v>153.9352332</v>
      </c>
      <c r="D157" s="916">
        <f>SUM(C153:C156)</f>
        <v>153.9352332</v>
      </c>
      <c r="E157" s="874"/>
      <c r="F157" s="915">
        <f>SUM(E154:E156)</f>
        <v>91.206204</v>
      </c>
    </row>
    <row r="158" spans="1:13" ht="13.5" thickTop="1" x14ac:dyDescent="0.2">
      <c r="A158" s="842"/>
      <c r="B158" s="818"/>
      <c r="C158" s="852"/>
      <c r="D158" s="852"/>
      <c r="E158" s="874"/>
      <c r="F158" s="874"/>
    </row>
    <row r="159" spans="1:13" x14ac:dyDescent="0.2">
      <c r="A159" s="849" t="s">
        <v>920</v>
      </c>
      <c r="B159" s="850" t="s">
        <v>921</v>
      </c>
      <c r="C159" s="861"/>
      <c r="D159" s="861"/>
      <c r="E159" s="889"/>
      <c r="F159" s="889"/>
      <c r="G159" s="862"/>
      <c r="H159" s="862"/>
      <c r="I159" s="862"/>
      <c r="J159" s="862"/>
      <c r="K159" s="862"/>
      <c r="L159" s="862"/>
      <c r="M159" s="862"/>
    </row>
    <row r="160" spans="1:13" x14ac:dyDescent="0.2">
      <c r="A160" s="842">
        <v>99205</v>
      </c>
      <c r="B160" s="909" t="s">
        <v>593</v>
      </c>
      <c r="C160" s="917"/>
      <c r="D160" s="852">
        <f>+K1447</f>
        <v>4600.3333333333458</v>
      </c>
      <c r="E160" s="874"/>
      <c r="F160" s="874">
        <v>8050.5833333333403</v>
      </c>
    </row>
    <row r="161" spans="1:13" x14ac:dyDescent="0.2">
      <c r="A161" s="842">
        <v>27902</v>
      </c>
      <c r="B161" s="918" t="s">
        <v>595</v>
      </c>
      <c r="C161" s="919"/>
      <c r="D161" s="920">
        <f>+L1447+534.390865045537</f>
        <v>-259.99864955446299</v>
      </c>
      <c r="E161" s="874"/>
      <c r="F161" s="874">
        <f>+G161+796.337422206392</f>
        <v>-794.38951459360794</v>
      </c>
      <c r="G161" s="921">
        <f>+-15907269368/10^7</f>
        <v>-1590.7269368</v>
      </c>
    </row>
    <row r="162" spans="1:13" ht="15.75" x14ac:dyDescent="0.2">
      <c r="A162" s="881"/>
      <c r="B162" s="922" t="s">
        <v>7</v>
      </c>
      <c r="C162" s="923"/>
      <c r="D162" s="884">
        <f>SUM(D160:D161)</f>
        <v>4340.3346837788831</v>
      </c>
      <c r="E162" s="874"/>
      <c r="F162" s="884">
        <f>SUM(F160:F161)</f>
        <v>7256.1938187397327</v>
      </c>
    </row>
    <row r="163" spans="1:13" x14ac:dyDescent="0.2">
      <c r="A163" s="924"/>
      <c r="B163" s="925"/>
      <c r="C163" s="926"/>
      <c r="D163" s="927"/>
      <c r="E163" s="874"/>
      <c r="F163" s="874"/>
    </row>
    <row r="164" spans="1:13" x14ac:dyDescent="0.2">
      <c r="A164" s="928" t="s">
        <v>354</v>
      </c>
      <c r="B164" s="929" t="s">
        <v>922</v>
      </c>
      <c r="C164" s="891"/>
      <c r="D164" s="891"/>
      <c r="E164" s="889"/>
      <c r="F164" s="889"/>
      <c r="G164" s="862"/>
      <c r="H164" s="862"/>
      <c r="I164" s="862"/>
      <c r="J164" s="862"/>
      <c r="K164" s="862"/>
      <c r="L164" s="862"/>
      <c r="M164" s="862"/>
    </row>
    <row r="165" spans="1:13" x14ac:dyDescent="0.2">
      <c r="A165" s="930">
        <v>99101</v>
      </c>
      <c r="B165" s="931" t="s">
        <v>923</v>
      </c>
      <c r="C165" s="932">
        <f>++K1434</f>
        <v>276.16423277299992</v>
      </c>
      <c r="D165" s="932"/>
      <c r="E165" s="932">
        <v>233.91713381899996</v>
      </c>
      <c r="F165" s="933"/>
    </row>
    <row r="166" spans="1:13" x14ac:dyDescent="0.2">
      <c r="A166" s="842">
        <v>26004</v>
      </c>
      <c r="B166" s="902" t="s">
        <v>924</v>
      </c>
      <c r="C166" s="903">
        <f>'[15]Input Sheet'!R484</f>
        <v>4.8521920999999999</v>
      </c>
      <c r="D166" s="852"/>
      <c r="E166" s="874">
        <v>4.8521920999999999</v>
      </c>
      <c r="F166" s="874"/>
      <c r="H166" s="904"/>
    </row>
    <row r="167" spans="1:13" ht="12" customHeight="1" x14ac:dyDescent="0.2">
      <c r="A167" s="842">
        <v>27890</v>
      </c>
      <c r="B167" s="934" t="s">
        <v>925</v>
      </c>
      <c r="C167" s="935">
        <f>+'[15]Input Sheet'!R512</f>
        <v>0</v>
      </c>
      <c r="D167" s="852"/>
      <c r="E167" s="874">
        <v>0</v>
      </c>
      <c r="F167" s="874"/>
    </row>
    <row r="168" spans="1:13" x14ac:dyDescent="0.2">
      <c r="A168" s="842">
        <v>28401</v>
      </c>
      <c r="B168" s="934" t="s">
        <v>926</v>
      </c>
      <c r="C168" s="935">
        <f>+'[15]Input Sheet'!R517</f>
        <v>0</v>
      </c>
      <c r="D168" s="852"/>
      <c r="E168" s="874">
        <v>0</v>
      </c>
      <c r="F168" s="874"/>
    </row>
    <row r="169" spans="1:13" x14ac:dyDescent="0.2">
      <c r="A169" s="842">
        <v>28801</v>
      </c>
      <c r="B169" s="934" t="s">
        <v>927</v>
      </c>
      <c r="C169" s="935">
        <f>+'[15]Input Sheet'!R521</f>
        <v>0</v>
      </c>
      <c r="D169" s="852"/>
      <c r="E169" s="874">
        <v>0</v>
      </c>
      <c r="F169" s="874"/>
    </row>
    <row r="170" spans="1:13" x14ac:dyDescent="0.2">
      <c r="A170" s="842">
        <v>28809</v>
      </c>
      <c r="B170" s="934" t="s">
        <v>928</v>
      </c>
      <c r="C170" s="935">
        <f>+'[15]Input Sheet'!R524</f>
        <v>0</v>
      </c>
      <c r="D170" s="852"/>
      <c r="E170" s="874">
        <v>0</v>
      </c>
      <c r="F170" s="874"/>
    </row>
    <row r="171" spans="1:13" x14ac:dyDescent="0.2">
      <c r="A171" s="842">
        <v>99120</v>
      </c>
      <c r="B171" s="934" t="s">
        <v>929</v>
      </c>
      <c r="C171" s="935">
        <f>+'[15]Input Sheet'!R1391</f>
        <v>0</v>
      </c>
      <c r="D171" s="852"/>
      <c r="E171" s="874">
        <v>0</v>
      </c>
      <c r="F171" s="874"/>
    </row>
    <row r="172" spans="1:13" x14ac:dyDescent="0.2">
      <c r="A172" s="842">
        <v>28811</v>
      </c>
      <c r="B172" s="934" t="s">
        <v>930</v>
      </c>
      <c r="C172" s="935">
        <f>+'[15]Input Sheet'!R525</f>
        <v>0</v>
      </c>
      <c r="D172" s="852"/>
      <c r="E172" s="874">
        <v>0</v>
      </c>
      <c r="F172" s="874"/>
    </row>
    <row r="173" spans="1:13" x14ac:dyDescent="0.2">
      <c r="A173" s="842">
        <v>99109</v>
      </c>
      <c r="B173" s="856" t="s">
        <v>931</v>
      </c>
      <c r="C173" s="935">
        <f>+'[15]Input Sheet'!R1383</f>
        <v>0</v>
      </c>
      <c r="D173" s="852"/>
      <c r="E173" s="874">
        <v>0</v>
      </c>
      <c r="F173" s="874"/>
    </row>
    <row r="174" spans="1:13" x14ac:dyDescent="0.2">
      <c r="A174" s="842"/>
      <c r="B174" s="936" t="s">
        <v>7</v>
      </c>
      <c r="C174" s="937">
        <f>SUM(C165:C173)</f>
        <v>281.01642487299995</v>
      </c>
      <c r="D174" s="852">
        <f>SUM(C165:C173)</f>
        <v>281.01642487299995</v>
      </c>
      <c r="E174" s="937">
        <f>SUM(E165:E173)</f>
        <v>238.76932591899995</v>
      </c>
      <c r="F174" s="938">
        <f>SUM(E165:E173)</f>
        <v>238.76932591899995</v>
      </c>
    </row>
    <row r="175" spans="1:13" x14ac:dyDescent="0.2">
      <c r="A175" s="930">
        <v>27900</v>
      </c>
      <c r="B175" s="931" t="s">
        <v>572</v>
      </c>
      <c r="C175" s="932"/>
      <c r="D175" s="932">
        <f>+L1434</f>
        <v>-276.16423277299992</v>
      </c>
      <c r="E175" s="932"/>
      <c r="F175" s="933">
        <f>-E165</f>
        <v>-233.91713381899996</v>
      </c>
    </row>
    <row r="176" spans="1:13" x14ac:dyDescent="0.2">
      <c r="A176" s="842">
        <v>27900</v>
      </c>
      <c r="B176" s="931" t="s">
        <v>924</v>
      </c>
      <c r="C176" s="932"/>
      <c r="D176" s="932">
        <f>-C166</f>
        <v>-4.8521920999999999</v>
      </c>
      <c r="E176" s="932"/>
      <c r="F176" s="933">
        <v>-4.8521920999999999</v>
      </c>
    </row>
    <row r="177" spans="1:6" x14ac:dyDescent="0.2">
      <c r="A177" s="842"/>
      <c r="B177" s="936" t="s">
        <v>239</v>
      </c>
      <c r="C177" s="937"/>
      <c r="D177" s="852">
        <f>SUM(D174:D176)</f>
        <v>2.4868995751603507E-14</v>
      </c>
      <c r="E177" s="874"/>
      <c r="F177" s="847">
        <f>SUM(F174:F176)</f>
        <v>0</v>
      </c>
    </row>
    <row r="178" spans="1:6" x14ac:dyDescent="0.2">
      <c r="A178" s="842"/>
      <c r="B178" s="934"/>
      <c r="C178" s="935"/>
      <c r="D178" s="852"/>
      <c r="E178" s="874"/>
      <c r="F178" s="874"/>
    </row>
    <row r="179" spans="1:6" ht="25.5" x14ac:dyDescent="0.2">
      <c r="A179" s="842">
        <v>28901</v>
      </c>
      <c r="B179" s="939" t="s">
        <v>932</v>
      </c>
      <c r="C179" s="896"/>
      <c r="D179" s="852">
        <f>'[15]Input Sheet'!R548</f>
        <v>0</v>
      </c>
      <c r="E179" s="874"/>
      <c r="F179" s="874">
        <v>0</v>
      </c>
    </row>
    <row r="180" spans="1:6" x14ac:dyDescent="0.2">
      <c r="A180" s="842">
        <v>27900</v>
      </c>
      <c r="B180" s="934" t="s">
        <v>572</v>
      </c>
      <c r="C180" s="935"/>
      <c r="D180" s="900"/>
      <c r="E180" s="874"/>
      <c r="F180" s="874"/>
    </row>
    <row r="181" spans="1:6" x14ac:dyDescent="0.2">
      <c r="A181" s="842"/>
      <c r="B181" s="934"/>
      <c r="C181" s="935"/>
      <c r="D181" s="852">
        <f>SUM(D179:D180)</f>
        <v>0</v>
      </c>
      <c r="E181" s="874"/>
      <c r="F181" s="872">
        <v>0</v>
      </c>
    </row>
    <row r="182" spans="1:6" x14ac:dyDescent="0.2">
      <c r="A182" s="842"/>
      <c r="B182" s="934"/>
      <c r="C182" s="935"/>
      <c r="D182" s="852"/>
      <c r="E182" s="874"/>
      <c r="F182" s="874"/>
    </row>
    <row r="183" spans="1:6" x14ac:dyDescent="0.2">
      <c r="A183" s="930">
        <v>99101</v>
      </c>
      <c r="B183" s="856" t="s">
        <v>933</v>
      </c>
      <c r="C183" s="940"/>
      <c r="D183" s="852">
        <f>K1440</f>
        <v>203.595050566</v>
      </c>
      <c r="E183" s="874"/>
      <c r="F183" s="852">
        <v>203.595050566</v>
      </c>
    </row>
    <row r="184" spans="1:6" x14ac:dyDescent="0.2">
      <c r="A184" s="842">
        <v>27900</v>
      </c>
      <c r="B184" s="934" t="s">
        <v>572</v>
      </c>
      <c r="C184" s="935"/>
      <c r="D184" s="900">
        <f>L1440</f>
        <v>-203.595050566</v>
      </c>
      <c r="E184" s="874"/>
      <c r="F184" s="900">
        <v>-203.595050566</v>
      </c>
    </row>
    <row r="185" spans="1:6" x14ac:dyDescent="0.2">
      <c r="A185" s="842"/>
      <c r="B185" s="856"/>
      <c r="C185" s="940"/>
      <c r="D185" s="852">
        <f>D183+D184</f>
        <v>0</v>
      </c>
      <c r="E185" s="874"/>
      <c r="F185" s="852">
        <f>F183+F184</f>
        <v>0</v>
      </c>
    </row>
    <row r="186" spans="1:6" x14ac:dyDescent="0.2">
      <c r="A186" s="842"/>
      <c r="B186" s="856"/>
      <c r="C186" s="940"/>
      <c r="D186" s="852"/>
      <c r="E186" s="874"/>
      <c r="F186" s="874"/>
    </row>
    <row r="187" spans="1:6" x14ac:dyDescent="0.2">
      <c r="A187" s="842"/>
      <c r="B187" s="856"/>
      <c r="C187" s="940"/>
      <c r="D187" s="852"/>
      <c r="E187" s="874"/>
      <c r="F187" s="874"/>
    </row>
    <row r="188" spans="1:6" x14ac:dyDescent="0.2">
      <c r="A188" s="930">
        <v>99101</v>
      </c>
      <c r="B188" s="941" t="s">
        <v>576</v>
      </c>
      <c r="C188" s="941"/>
      <c r="D188" s="941">
        <f>+K1438</f>
        <v>76.211765499999998</v>
      </c>
      <c r="E188" s="941"/>
      <c r="F188" s="941">
        <v>76.211765499999998</v>
      </c>
    </row>
    <row r="189" spans="1:6" x14ac:dyDescent="0.2">
      <c r="A189" s="842">
        <v>46431</v>
      </c>
      <c r="B189" s="941" t="s">
        <v>572</v>
      </c>
      <c r="C189" s="942"/>
      <c r="D189" s="942">
        <f>+L1436</f>
        <v>-76.211765499999998</v>
      </c>
      <c r="E189" s="942"/>
      <c r="F189" s="942">
        <v>-76.211765499999998</v>
      </c>
    </row>
    <row r="190" spans="1:6" x14ac:dyDescent="0.2">
      <c r="A190" s="842"/>
      <c r="B190" s="818"/>
      <c r="C190" s="852"/>
      <c r="D190" s="888">
        <f>SUM(D183:D189)</f>
        <v>0</v>
      </c>
      <c r="E190" s="874"/>
      <c r="F190" s="872">
        <v>0</v>
      </c>
    </row>
    <row r="191" spans="1:6" x14ac:dyDescent="0.2">
      <c r="A191" s="842"/>
      <c r="B191" s="818"/>
      <c r="C191" s="852"/>
      <c r="D191" s="852"/>
      <c r="E191" s="874"/>
      <c r="F191" s="874"/>
    </row>
    <row r="192" spans="1:6" x14ac:dyDescent="0.2">
      <c r="A192" s="842"/>
      <c r="B192" s="909" t="s">
        <v>577</v>
      </c>
      <c r="C192" s="917"/>
      <c r="D192" s="852"/>
      <c r="E192" s="874"/>
      <c r="F192" s="874"/>
    </row>
    <row r="193" spans="1:7" x14ac:dyDescent="0.2">
      <c r="A193" s="842"/>
      <c r="B193" s="818"/>
      <c r="C193" s="852"/>
      <c r="D193" s="852"/>
      <c r="E193" s="874"/>
      <c r="F193" s="874"/>
    </row>
    <row r="194" spans="1:7" x14ac:dyDescent="0.2">
      <c r="A194" s="842">
        <v>27401</v>
      </c>
      <c r="B194" s="934" t="s">
        <v>934</v>
      </c>
      <c r="C194" s="935">
        <f>+'[15]Input Sheet'!R505</f>
        <v>1274.3203189000001</v>
      </c>
      <c r="D194" s="852"/>
      <c r="E194" s="874">
        <v>1270.2212525</v>
      </c>
      <c r="F194" s="874"/>
    </row>
    <row r="195" spans="1:7" x14ac:dyDescent="0.2">
      <c r="A195" s="842">
        <v>27411</v>
      </c>
      <c r="B195" s="934" t="s">
        <v>935</v>
      </c>
      <c r="C195" s="935">
        <f>+'[15]Input Sheet'!R506</f>
        <v>1.7177159</v>
      </c>
      <c r="D195" s="852"/>
      <c r="E195" s="874">
        <v>1.2595403000000001</v>
      </c>
      <c r="F195" s="874"/>
      <c r="G195" s="243"/>
    </row>
    <row r="196" spans="1:7" x14ac:dyDescent="0.2">
      <c r="A196" s="842">
        <v>27412</v>
      </c>
      <c r="B196" s="934" t="s">
        <v>936</v>
      </c>
      <c r="C196" s="935">
        <f>+'[15]Input Sheet'!R507</f>
        <v>5.4722199999999999E-2</v>
      </c>
      <c r="D196" s="852"/>
      <c r="E196" s="874">
        <v>5.4722199999999999E-2</v>
      </c>
      <c r="F196" s="874"/>
    </row>
    <row r="197" spans="1:7" x14ac:dyDescent="0.2">
      <c r="A197" s="842">
        <v>27413</v>
      </c>
      <c r="B197" s="934" t="s">
        <v>937</v>
      </c>
      <c r="C197" s="935">
        <f>+'[15]Input Sheet'!R508</f>
        <v>1.1501427660000001</v>
      </c>
      <c r="D197" s="852"/>
      <c r="E197" s="874">
        <v>0.94409642400000005</v>
      </c>
      <c r="F197" s="874"/>
    </row>
    <row r="198" spans="1:7" x14ac:dyDescent="0.2">
      <c r="A198" s="842">
        <v>27415</v>
      </c>
      <c r="B198" s="934" t="s">
        <v>938</v>
      </c>
      <c r="C198" s="935">
        <f>+'[15]Input Sheet'!R510</f>
        <v>5.58612194</v>
      </c>
      <c r="D198" s="852"/>
      <c r="E198" s="874">
        <v>2.6844937100000004</v>
      </c>
      <c r="F198" s="874"/>
    </row>
    <row r="199" spans="1:7" x14ac:dyDescent="0.2">
      <c r="A199" s="842">
        <f>+'[15]Input Sheet'!D509</f>
        <v>27414</v>
      </c>
      <c r="B199" s="943" t="str">
        <f>+'[15]Input Sheet'!E509</f>
        <v>TCS credit receivable under section 206</v>
      </c>
      <c r="C199" s="935">
        <f>'[15]Input Sheet'!Q509</f>
        <v>1.6755757210000002</v>
      </c>
      <c r="D199" s="852"/>
      <c r="E199" s="874">
        <v>1.6680127490000001</v>
      </c>
      <c r="F199" s="874"/>
    </row>
    <row r="200" spans="1:7" x14ac:dyDescent="0.2">
      <c r="A200" s="842">
        <v>27416</v>
      </c>
      <c r="B200" t="s">
        <v>939</v>
      </c>
      <c r="C200" s="935">
        <f>+'[15]Input Sheet'!R511</f>
        <v>77.505200266999992</v>
      </c>
      <c r="D200" s="852"/>
      <c r="E200" s="874">
        <v>46.410694900000003</v>
      </c>
      <c r="F200" s="874"/>
    </row>
    <row r="201" spans="1:7" x14ac:dyDescent="0.2">
      <c r="A201" s="842">
        <v>46800</v>
      </c>
      <c r="B201" s="934" t="s">
        <v>940</v>
      </c>
      <c r="C201" s="935">
        <f>+'[15]Input Sheet'!R676</f>
        <v>1026.6424787999999</v>
      </c>
      <c r="D201" s="900"/>
      <c r="E201" s="874">
        <v>1026.6424787999999</v>
      </c>
      <c r="F201" s="874"/>
    </row>
    <row r="202" spans="1:7" x14ac:dyDescent="0.2">
      <c r="A202" s="842"/>
      <c r="B202" s="818" t="s">
        <v>239</v>
      </c>
      <c r="C202" s="888">
        <f>+SUM(C194:C200)-C201</f>
        <v>335.36731889400039</v>
      </c>
      <c r="D202" s="852">
        <f>SUM(C194:C200)-C201</f>
        <v>335.36731889400039</v>
      </c>
      <c r="E202" s="888">
        <f>+SUM(E194:E200)-E201</f>
        <v>296.60033398299993</v>
      </c>
      <c r="F202" s="938">
        <f>SUM(E194:E200)-E201</f>
        <v>296.60033398299993</v>
      </c>
    </row>
    <row r="203" spans="1:7" x14ac:dyDescent="0.2">
      <c r="A203" s="842"/>
      <c r="B203" s="818"/>
      <c r="C203" s="852"/>
      <c r="D203" s="852"/>
      <c r="E203" s="874"/>
      <c r="F203" s="874"/>
    </row>
    <row r="204" spans="1:7" x14ac:dyDescent="0.2">
      <c r="A204" s="842"/>
      <c r="B204" s="944" t="s">
        <v>578</v>
      </c>
      <c r="C204" s="945"/>
      <c r="D204" s="852"/>
      <c r="E204" s="874"/>
      <c r="F204" s="874"/>
    </row>
    <row r="205" spans="1:7" ht="13.5" customHeight="1" x14ac:dyDescent="0.2">
      <c r="A205" s="842">
        <v>27101</v>
      </c>
      <c r="B205" s="934" t="s">
        <v>941</v>
      </c>
      <c r="C205" s="935">
        <f>+'[15]Input Sheet'!R490</f>
        <v>0</v>
      </c>
      <c r="D205" s="852"/>
      <c r="E205" s="874"/>
      <c r="F205" s="874"/>
    </row>
    <row r="206" spans="1:7" x14ac:dyDescent="0.2">
      <c r="A206" s="842">
        <v>27102</v>
      </c>
      <c r="B206" s="934" t="s">
        <v>942</v>
      </c>
      <c r="C206" s="935">
        <f>+'[15]Input Sheet'!R491</f>
        <v>0</v>
      </c>
      <c r="D206" s="852"/>
      <c r="E206" s="874"/>
      <c r="F206" s="874"/>
    </row>
    <row r="207" spans="1:7" x14ac:dyDescent="0.2">
      <c r="A207" s="842">
        <v>27103</v>
      </c>
      <c r="B207" s="934" t="s">
        <v>943</v>
      </c>
      <c r="C207" s="935">
        <f>+'[15]Input Sheet'!R492</f>
        <v>0</v>
      </c>
      <c r="D207" s="852"/>
      <c r="E207" s="874"/>
      <c r="F207" s="874"/>
    </row>
    <row r="208" spans="1:7" x14ac:dyDescent="0.2">
      <c r="A208" s="842">
        <v>27104</v>
      </c>
      <c r="B208" s="934" t="s">
        <v>944</v>
      </c>
      <c r="C208" s="935">
        <f>+'[15]Input Sheet'!R493</f>
        <v>0</v>
      </c>
      <c r="D208" s="852"/>
      <c r="E208" s="874"/>
      <c r="F208" s="874"/>
    </row>
    <row r="209" spans="1:6" x14ac:dyDescent="0.2">
      <c r="A209" s="842">
        <v>27105</v>
      </c>
      <c r="B209" s="934" t="s">
        <v>945</v>
      </c>
      <c r="C209" s="935">
        <f>+'[15]Input Sheet'!R494</f>
        <v>0</v>
      </c>
      <c r="D209" s="852"/>
      <c r="E209" s="874"/>
      <c r="F209" s="874"/>
    </row>
    <row r="210" spans="1:6" x14ac:dyDescent="0.2">
      <c r="A210" s="842">
        <v>27201</v>
      </c>
      <c r="B210" s="934" t="s">
        <v>946</v>
      </c>
      <c r="C210" s="935">
        <f>+'[15]Input Sheet'!R495</f>
        <v>0</v>
      </c>
      <c r="D210" s="852"/>
      <c r="E210" s="874"/>
      <c r="F210" s="874"/>
    </row>
    <row r="211" spans="1:6" x14ac:dyDescent="0.2">
      <c r="A211" s="842">
        <v>27202</v>
      </c>
      <c r="B211" s="934" t="s">
        <v>947</v>
      </c>
      <c r="C211" s="935">
        <f>+'[15]Input Sheet'!R496</f>
        <v>0</v>
      </c>
      <c r="D211" s="852"/>
      <c r="E211" s="874"/>
      <c r="F211" s="874"/>
    </row>
    <row r="212" spans="1:6" x14ac:dyDescent="0.2">
      <c r="A212" s="842">
        <v>27203</v>
      </c>
      <c r="B212" s="934" t="s">
        <v>948</v>
      </c>
      <c r="C212" s="935">
        <f>+'[15]Input Sheet'!R497</f>
        <v>0</v>
      </c>
      <c r="D212" s="852"/>
      <c r="E212" s="874"/>
      <c r="F212" s="874"/>
    </row>
    <row r="213" spans="1:6" x14ac:dyDescent="0.2">
      <c r="A213" s="842">
        <v>27204</v>
      </c>
      <c r="B213" s="934" t="s">
        <v>949</v>
      </c>
      <c r="C213" s="935">
        <f>+'[15]Input Sheet'!R498</f>
        <v>0</v>
      </c>
      <c r="D213" s="852"/>
      <c r="E213" s="874"/>
      <c r="F213" s="874"/>
    </row>
    <row r="214" spans="1:6" x14ac:dyDescent="0.2">
      <c r="A214" s="842">
        <v>27205</v>
      </c>
      <c r="B214" s="934" t="s">
        <v>950</v>
      </c>
      <c r="C214" s="935">
        <f>+'[15]Input Sheet'!R499</f>
        <v>0</v>
      </c>
      <c r="D214" s="852"/>
      <c r="E214" s="874"/>
      <c r="F214" s="874"/>
    </row>
    <row r="215" spans="1:6" x14ac:dyDescent="0.2">
      <c r="A215" s="842">
        <v>27207</v>
      </c>
      <c r="B215" s="934" t="s">
        <v>951</v>
      </c>
      <c r="C215" s="935">
        <f>+'[15]Input Sheet'!R500</f>
        <v>0</v>
      </c>
      <c r="D215" s="852"/>
      <c r="E215" s="874"/>
      <c r="F215" s="874"/>
    </row>
    <row r="216" spans="1:6" x14ac:dyDescent="0.2">
      <c r="A216" s="842">
        <v>27208</v>
      </c>
      <c r="B216" s="934" t="s">
        <v>952</v>
      </c>
      <c r="C216" s="935">
        <f>+'[15]Input Sheet'!R501</f>
        <v>0</v>
      </c>
      <c r="D216" s="852"/>
      <c r="E216" s="874"/>
      <c r="F216" s="874"/>
    </row>
    <row r="217" spans="1:6" x14ac:dyDescent="0.2">
      <c r="A217" s="842">
        <v>27209</v>
      </c>
      <c r="B217" s="934" t="s">
        <v>953</v>
      </c>
      <c r="C217" s="935">
        <f>+'[15]Input Sheet'!R502</f>
        <v>0</v>
      </c>
      <c r="D217" s="852"/>
      <c r="E217" s="874"/>
      <c r="F217" s="874"/>
    </row>
    <row r="218" spans="1:6" x14ac:dyDescent="0.2">
      <c r="A218" s="842">
        <v>27210</v>
      </c>
      <c r="B218" s="934" t="s">
        <v>954</v>
      </c>
      <c r="C218" s="935">
        <f>+'[15]Input Sheet'!R503</f>
        <v>0</v>
      </c>
      <c r="D218" s="852"/>
      <c r="E218" s="874"/>
      <c r="F218" s="874"/>
    </row>
    <row r="219" spans="1:6" x14ac:dyDescent="0.2">
      <c r="A219" s="842">
        <v>27215</v>
      </c>
      <c r="B219" s="934" t="s">
        <v>955</v>
      </c>
      <c r="C219" s="935">
        <f>+'[15]Input Sheet'!R504</f>
        <v>0</v>
      </c>
      <c r="D219" s="852"/>
      <c r="E219" s="874"/>
      <c r="F219" s="874"/>
    </row>
    <row r="220" spans="1:6" x14ac:dyDescent="0.2">
      <c r="A220" s="842"/>
      <c r="B220" s="934"/>
      <c r="C220" s="935"/>
      <c r="D220" s="900"/>
      <c r="E220" s="874"/>
      <c r="F220" s="874"/>
    </row>
    <row r="221" spans="1:6" x14ac:dyDescent="0.2">
      <c r="A221" s="842"/>
      <c r="B221" s="936" t="s">
        <v>7</v>
      </c>
      <c r="C221" s="946">
        <f>SUM(C205:C220)</f>
        <v>0</v>
      </c>
      <c r="D221" s="861">
        <f>SUM(C205:C220)</f>
        <v>0</v>
      </c>
      <c r="E221" s="946">
        <f>SUM(E205:E220)</f>
        <v>0</v>
      </c>
      <c r="F221" s="876">
        <f>SUM(E205:E220)</f>
        <v>0</v>
      </c>
    </row>
    <row r="222" spans="1:6" x14ac:dyDescent="0.2">
      <c r="A222" s="842"/>
      <c r="B222" s="818"/>
      <c r="C222" s="852"/>
      <c r="D222" s="852"/>
      <c r="E222" s="874"/>
      <c r="F222" s="874"/>
    </row>
    <row r="223" spans="1:6" x14ac:dyDescent="0.2">
      <c r="A223" s="842">
        <v>28821</v>
      </c>
      <c r="B223" s="818" t="s">
        <v>579</v>
      </c>
      <c r="C223" s="852"/>
      <c r="D223" s="852">
        <f>+'[15]Input Sheet'!R527</f>
        <v>0</v>
      </c>
      <c r="E223" s="874"/>
      <c r="F223" s="874">
        <v>1.4262655</v>
      </c>
    </row>
    <row r="224" spans="1:6" x14ac:dyDescent="0.2">
      <c r="A224" s="842">
        <v>99102</v>
      </c>
      <c r="B224" s="909" t="s">
        <v>580</v>
      </c>
      <c r="C224" s="917"/>
      <c r="D224" s="852">
        <f>'[15]Input Sheet'!R1377</f>
        <v>413.56195018599999</v>
      </c>
      <c r="E224" s="874"/>
      <c r="F224" s="874">
        <v>323.902233663</v>
      </c>
    </row>
    <row r="225" spans="1:13" x14ac:dyDescent="0.2">
      <c r="A225" s="842">
        <v>28802</v>
      </c>
      <c r="B225" s="947" t="s">
        <v>956</v>
      </c>
      <c r="C225" s="852"/>
      <c r="D225" s="852">
        <f>'[15]Input Sheet'!R522</f>
        <v>0</v>
      </c>
      <c r="E225" s="874"/>
      <c r="F225" s="874">
        <v>0</v>
      </c>
    </row>
    <row r="226" spans="1:13" ht="13.5" thickBot="1" x14ac:dyDescent="0.25">
      <c r="A226" s="842"/>
      <c r="B226" s="948" t="s">
        <v>957</v>
      </c>
      <c r="C226" s="949"/>
      <c r="D226" s="870">
        <f>SUM(D190:D225)</f>
        <v>748.92926908000038</v>
      </c>
      <c r="E226" s="874"/>
      <c r="F226" s="870">
        <f>SUM(F190:F225)</f>
        <v>621.92883314599999</v>
      </c>
    </row>
    <row r="227" spans="1:13" ht="13.5" thickTop="1" x14ac:dyDescent="0.2">
      <c r="A227" s="842"/>
      <c r="B227" s="947"/>
      <c r="C227" s="852"/>
      <c r="D227" s="852"/>
      <c r="E227" s="874"/>
      <c r="F227" s="874"/>
    </row>
    <row r="228" spans="1:13" x14ac:dyDescent="0.2">
      <c r="A228" s="849" t="s">
        <v>958</v>
      </c>
      <c r="B228" s="850" t="s">
        <v>582</v>
      </c>
      <c r="C228" s="861"/>
      <c r="D228" s="861"/>
      <c r="E228" s="889"/>
      <c r="F228" s="889"/>
      <c r="G228" s="862"/>
      <c r="H228" s="862"/>
      <c r="I228" s="862"/>
      <c r="J228" s="862"/>
      <c r="K228" s="862"/>
      <c r="L228" s="862"/>
      <c r="M228" s="862"/>
    </row>
    <row r="229" spans="1:13" x14ac:dyDescent="0.2">
      <c r="A229" s="842">
        <v>21999</v>
      </c>
      <c r="B229" s="934" t="s">
        <v>959</v>
      </c>
      <c r="C229" s="935"/>
      <c r="D229" s="950">
        <f>'[15]Input Sheet'!Q119</f>
        <v>0</v>
      </c>
      <c r="E229" s="874"/>
      <c r="F229" s="874">
        <v>0</v>
      </c>
    </row>
    <row r="230" spans="1:13" x14ac:dyDescent="0.2">
      <c r="A230" s="842"/>
      <c r="B230" s="936"/>
      <c r="C230" s="937"/>
      <c r="D230" s="852"/>
      <c r="E230" s="874"/>
      <c r="F230" s="874"/>
    </row>
    <row r="231" spans="1:13" x14ac:dyDescent="0.2">
      <c r="A231" s="842"/>
      <c r="B231" s="951" t="s">
        <v>583</v>
      </c>
      <c r="C231" s="952"/>
      <c r="D231" s="861"/>
      <c r="E231" s="874"/>
      <c r="F231" s="874"/>
    </row>
    <row r="232" spans="1:13" x14ac:dyDescent="0.2">
      <c r="A232" s="842">
        <v>21101</v>
      </c>
      <c r="B232" s="934" t="s">
        <v>960</v>
      </c>
      <c r="C232" s="935">
        <f>+'[15]Input Sheet'!Q94</f>
        <v>1261.6128547180001</v>
      </c>
      <c r="D232" s="852"/>
      <c r="E232" s="874">
        <v>825.97046793900006</v>
      </c>
      <c r="F232" s="874"/>
    </row>
    <row r="233" spans="1:13" x14ac:dyDescent="0.2">
      <c r="A233" s="842">
        <v>21120</v>
      </c>
      <c r="B233" s="934" t="s">
        <v>961</v>
      </c>
      <c r="C233" s="935">
        <f>+'[15]Input Sheet'!Q100</f>
        <v>0</v>
      </c>
      <c r="D233" s="852"/>
      <c r="E233" s="874">
        <v>0</v>
      </c>
      <c r="F233" s="874"/>
    </row>
    <row r="234" spans="1:13" x14ac:dyDescent="0.2">
      <c r="A234" s="842">
        <v>21122</v>
      </c>
      <c r="B234" s="934" t="s">
        <v>962</v>
      </c>
      <c r="C234" s="935">
        <f>+'[15]Input Sheet'!Q102</f>
        <v>263.54691082900001</v>
      </c>
      <c r="D234" s="852"/>
      <c r="E234" s="874">
        <v>123.15643997799999</v>
      </c>
      <c r="F234" s="874"/>
    </row>
    <row r="235" spans="1:13" x14ac:dyDescent="0.2">
      <c r="A235" s="842">
        <v>21123</v>
      </c>
      <c r="B235" s="934" t="s">
        <v>963</v>
      </c>
      <c r="C235" s="935">
        <f>+'[15]Input Sheet'!Q103</f>
        <v>422.164722977</v>
      </c>
      <c r="D235" s="852"/>
      <c r="E235" s="874">
        <v>198.14129924000002</v>
      </c>
      <c r="F235" s="874"/>
    </row>
    <row r="236" spans="1:13" x14ac:dyDescent="0.2">
      <c r="A236" s="842">
        <v>21124</v>
      </c>
      <c r="B236" s="934" t="s">
        <v>964</v>
      </c>
      <c r="C236" s="935">
        <f>+'[15]Input Sheet'!Q104</f>
        <v>3.8018718709999999</v>
      </c>
      <c r="D236" s="852"/>
      <c r="E236" s="874">
        <v>7.1588064519999994</v>
      </c>
      <c r="F236" s="874"/>
    </row>
    <row r="237" spans="1:13" x14ac:dyDescent="0.2">
      <c r="A237" s="842">
        <v>21126</v>
      </c>
      <c r="B237" s="934" t="s">
        <v>965</v>
      </c>
      <c r="C237" s="935">
        <f>+'[15]Input Sheet'!Q106</f>
        <v>0</v>
      </c>
      <c r="D237" s="852"/>
      <c r="E237" s="874">
        <v>0</v>
      </c>
      <c r="F237" s="874"/>
    </row>
    <row r="238" spans="1:13" x14ac:dyDescent="0.2">
      <c r="A238" s="842">
        <v>21127</v>
      </c>
      <c r="B238" s="934" t="s">
        <v>966</v>
      </c>
      <c r="C238" s="935">
        <f>+'[15]Input Sheet'!Q107</f>
        <v>0</v>
      </c>
      <c r="D238" s="852"/>
      <c r="E238" s="874">
        <v>0</v>
      </c>
      <c r="F238" s="874"/>
    </row>
    <row r="239" spans="1:13" x14ac:dyDescent="0.2">
      <c r="A239" s="842">
        <v>21128</v>
      </c>
      <c r="B239" s="934" t="s">
        <v>967</v>
      </c>
      <c r="C239" s="935">
        <f>+'[15]Input Sheet'!Q108</f>
        <v>0</v>
      </c>
      <c r="D239" s="852"/>
      <c r="E239" s="874">
        <v>0</v>
      </c>
      <c r="F239" s="874"/>
    </row>
    <row r="240" spans="1:13" x14ac:dyDescent="0.2">
      <c r="A240" s="842">
        <v>21135</v>
      </c>
      <c r="B240" s="934" t="s">
        <v>968</v>
      </c>
      <c r="C240" s="935">
        <f>+'[15]Input Sheet'!Q115</f>
        <v>0</v>
      </c>
      <c r="D240" s="852"/>
      <c r="E240" s="874">
        <v>0</v>
      </c>
      <c r="F240" s="874"/>
    </row>
    <row r="241" spans="1:6" ht="25.5" x14ac:dyDescent="0.2">
      <c r="A241" s="842">
        <v>21200</v>
      </c>
      <c r="B241" s="939" t="s">
        <v>969</v>
      </c>
      <c r="C241" s="935">
        <f>+'[15]Input Sheet'!Q118</f>
        <v>82.905420118999999</v>
      </c>
      <c r="D241" s="852"/>
      <c r="E241" s="874">
        <v>39.259050551000001</v>
      </c>
      <c r="F241" s="874"/>
    </row>
    <row r="242" spans="1:6" x14ac:dyDescent="0.2">
      <c r="A242" s="842"/>
      <c r="B242" s="936" t="s">
        <v>7</v>
      </c>
      <c r="C242" s="946">
        <f>SUM(C232:C241)</f>
        <v>2034.031780514</v>
      </c>
      <c r="D242" s="891">
        <f>SUM(C232:C241)</f>
        <v>2034.031780514</v>
      </c>
      <c r="E242" s="946">
        <f>SUM(E232:E241)</f>
        <v>1193.6860641599999</v>
      </c>
      <c r="F242" s="892">
        <f>SUM(E232:E241)</f>
        <v>1193.6860641599999</v>
      </c>
    </row>
    <row r="243" spans="1:6" x14ac:dyDescent="0.2">
      <c r="A243" s="842"/>
      <c r="B243" s="953" t="s">
        <v>585</v>
      </c>
      <c r="C243" s="937"/>
      <c r="D243" s="861"/>
      <c r="E243" s="874"/>
      <c r="F243" s="874"/>
    </row>
    <row r="244" spans="1:6" x14ac:dyDescent="0.2">
      <c r="A244" s="842">
        <v>21103</v>
      </c>
      <c r="B244" s="934" t="s">
        <v>970</v>
      </c>
      <c r="C244" s="935">
        <f>+'[15]Input Sheet'!Q95</f>
        <v>126.97398563199999</v>
      </c>
      <c r="D244" s="852"/>
      <c r="E244" s="874">
        <v>133.783303477</v>
      </c>
      <c r="F244" s="874"/>
    </row>
    <row r="245" spans="1:6" x14ac:dyDescent="0.2">
      <c r="A245" s="842">
        <v>21104</v>
      </c>
      <c r="B245" s="934" t="s">
        <v>971</v>
      </c>
      <c r="C245" s="935">
        <f>+'[15]Input Sheet'!Q96</f>
        <v>1.7326806370000001</v>
      </c>
      <c r="D245" s="852"/>
      <c r="E245" s="874">
        <v>1.507216828</v>
      </c>
      <c r="F245" s="874"/>
    </row>
    <row r="246" spans="1:6" x14ac:dyDescent="0.2">
      <c r="A246" s="842">
        <v>21105</v>
      </c>
      <c r="B246" s="934" t="s">
        <v>972</v>
      </c>
      <c r="C246" s="935">
        <f>+'[15]Input Sheet'!Q97</f>
        <v>187.81503909200001</v>
      </c>
      <c r="D246" s="852"/>
      <c r="E246" s="874">
        <v>182.00282437199999</v>
      </c>
      <c r="F246" s="874"/>
    </row>
    <row r="247" spans="1:6" x14ac:dyDescent="0.2">
      <c r="A247" s="842">
        <v>21106</v>
      </c>
      <c r="B247" s="934" t="s">
        <v>973</v>
      </c>
      <c r="C247" s="935">
        <f>+'[15]Input Sheet'!Q98</f>
        <v>0.506928987</v>
      </c>
      <c r="D247" s="900"/>
      <c r="E247" s="874">
        <v>0.70923444299999994</v>
      </c>
      <c r="F247" s="874"/>
    </row>
    <row r="248" spans="1:6" x14ac:dyDescent="0.2">
      <c r="A248" s="842"/>
      <c r="B248" s="936" t="s">
        <v>7</v>
      </c>
      <c r="C248" s="946">
        <f>SUM(C244:C247)</f>
        <v>317.02863434799997</v>
      </c>
      <c r="D248" s="861">
        <f>SUM(C244:C247)</f>
        <v>317.02863434799997</v>
      </c>
      <c r="E248" s="946">
        <f>SUM(E244:E247)</f>
        <v>318.00257912000001</v>
      </c>
      <c r="F248" s="876">
        <f>SUM(E244:E247)</f>
        <v>318.00257912000001</v>
      </c>
    </row>
    <row r="249" spans="1:6" x14ac:dyDescent="0.2">
      <c r="A249" s="842">
        <v>21108</v>
      </c>
      <c r="B249" s="934" t="s">
        <v>974</v>
      </c>
      <c r="C249" s="935"/>
      <c r="D249" s="852">
        <f>'[15]Input Sheet'!Q99</f>
        <v>0</v>
      </c>
      <c r="E249" s="874"/>
      <c r="F249" s="874"/>
    </row>
    <row r="250" spans="1:6" x14ac:dyDescent="0.2">
      <c r="A250" s="842"/>
      <c r="B250" s="936" t="s">
        <v>975</v>
      </c>
      <c r="C250" s="937"/>
      <c r="D250" s="861"/>
      <c r="E250" s="874"/>
      <c r="F250" s="874"/>
    </row>
    <row r="251" spans="1:6" x14ac:dyDescent="0.2">
      <c r="A251" s="842">
        <v>21129</v>
      </c>
      <c r="B251" s="934" t="s">
        <v>976</v>
      </c>
      <c r="C251" s="935">
        <f>+'[15]Input Sheet'!Q109</f>
        <v>0</v>
      </c>
      <c r="D251" s="852"/>
      <c r="E251" s="874">
        <v>0</v>
      </c>
      <c r="F251" s="874"/>
    </row>
    <row r="252" spans="1:6" x14ac:dyDescent="0.2">
      <c r="A252" s="842">
        <v>21131</v>
      </c>
      <c r="B252" s="934" t="s">
        <v>977</v>
      </c>
      <c r="C252" s="935">
        <f>+'[15]Input Sheet'!Q111</f>
        <v>0</v>
      </c>
      <c r="D252" s="852"/>
      <c r="E252" s="874">
        <v>0</v>
      </c>
      <c r="F252" s="874"/>
    </row>
    <row r="253" spans="1:6" x14ac:dyDescent="0.2">
      <c r="A253" s="842">
        <v>21132</v>
      </c>
      <c r="B253" s="934" t="s">
        <v>978</v>
      </c>
      <c r="C253" s="935">
        <f>+'[15]Input Sheet'!Q112</f>
        <v>0</v>
      </c>
      <c r="D253" s="852"/>
      <c r="E253" s="874">
        <v>0</v>
      </c>
      <c r="F253" s="874"/>
    </row>
    <row r="254" spans="1:6" ht="25.5" x14ac:dyDescent="0.2">
      <c r="A254" s="842">
        <v>21133</v>
      </c>
      <c r="B254" s="939" t="s">
        <v>979</v>
      </c>
      <c r="C254" s="896">
        <f>+'[15]Input Sheet'!Q113</f>
        <v>0</v>
      </c>
      <c r="D254" s="852"/>
      <c r="E254" s="874">
        <v>0</v>
      </c>
      <c r="F254" s="874"/>
    </row>
    <row r="255" spans="1:6" ht="25.5" x14ac:dyDescent="0.2">
      <c r="A255" s="842">
        <v>21134</v>
      </c>
      <c r="B255" s="939" t="s">
        <v>980</v>
      </c>
      <c r="C255" s="896">
        <f>+'[15]Input Sheet'!Q114</f>
        <v>0</v>
      </c>
      <c r="D255" s="900"/>
      <c r="E255" s="874">
        <v>0</v>
      </c>
      <c r="F255" s="874"/>
    </row>
    <row r="256" spans="1:6" x14ac:dyDescent="0.2">
      <c r="A256" s="842"/>
      <c r="B256" s="936" t="s">
        <v>7</v>
      </c>
      <c r="C256" s="946">
        <f>SUM(C251:C255)</f>
        <v>0</v>
      </c>
      <c r="D256" s="852">
        <f>SUM(C251:C255)</f>
        <v>0</v>
      </c>
      <c r="E256" s="946">
        <f>SUM(E251:E255)</f>
        <v>0</v>
      </c>
      <c r="F256" s="938">
        <f>SUM(E251:E255)</f>
        <v>0</v>
      </c>
    </row>
    <row r="257" spans="1:13" x14ac:dyDescent="0.2">
      <c r="A257" s="842"/>
      <c r="B257" s="936"/>
      <c r="C257" s="937"/>
      <c r="D257" s="852"/>
      <c r="E257" s="874"/>
      <c r="F257" s="874"/>
    </row>
    <row r="258" spans="1:13" x14ac:dyDescent="0.2">
      <c r="A258" s="842">
        <v>21140</v>
      </c>
      <c r="B258" s="934" t="s">
        <v>981</v>
      </c>
      <c r="C258" s="935"/>
      <c r="D258" s="852">
        <f>'[15]Input Sheet'!Q116</f>
        <v>0</v>
      </c>
      <c r="E258" s="874"/>
      <c r="F258" s="874">
        <f>E258</f>
        <v>0</v>
      </c>
    </row>
    <row r="259" spans="1:13" x14ac:dyDescent="0.2">
      <c r="A259" s="842"/>
      <c r="B259" s="934"/>
      <c r="C259" s="935"/>
      <c r="D259" s="852"/>
      <c r="E259" s="874"/>
      <c r="F259" s="874"/>
    </row>
    <row r="260" spans="1:13" x14ac:dyDescent="0.2">
      <c r="A260" s="842">
        <v>21121</v>
      </c>
      <c r="B260" s="954" t="s">
        <v>982</v>
      </c>
      <c r="C260" s="955">
        <f>+'[15]Input Sheet'!Q101</f>
        <v>112.425922883</v>
      </c>
      <c r="D260" s="852"/>
      <c r="E260" s="874">
        <v>64.100697285999999</v>
      </c>
      <c r="F260" s="874"/>
    </row>
    <row r="261" spans="1:13" x14ac:dyDescent="0.2">
      <c r="A261" s="956">
        <v>21125</v>
      </c>
      <c r="B261" s="954" t="s">
        <v>983</v>
      </c>
      <c r="C261" s="955">
        <f>+'[15]Input Sheet'!Q105</f>
        <v>0.11699324999999999</v>
      </c>
      <c r="D261" s="852"/>
      <c r="E261" s="938">
        <v>0.459820913</v>
      </c>
      <c r="F261" s="874"/>
      <c r="G261" s="243"/>
      <c r="H261" s="243"/>
      <c r="I261" s="243"/>
      <c r="J261" s="243"/>
      <c r="K261" s="243"/>
      <c r="L261" s="243"/>
      <c r="M261" s="243"/>
    </row>
    <row r="262" spans="1:13" x14ac:dyDescent="0.2">
      <c r="A262" s="957">
        <v>21141</v>
      </c>
      <c r="B262" s="954" t="s">
        <v>984</v>
      </c>
      <c r="C262" s="955">
        <f>+'[15]Input Sheet'!Q117</f>
        <v>0.53748294400000007</v>
      </c>
      <c r="D262" s="900"/>
      <c r="E262" s="938"/>
      <c r="F262" s="874"/>
      <c r="G262" s="243"/>
      <c r="H262" s="243"/>
      <c r="I262" s="243"/>
      <c r="J262" s="243"/>
      <c r="K262" s="243"/>
      <c r="L262" s="243"/>
      <c r="M262" s="243"/>
    </row>
    <row r="263" spans="1:13" x14ac:dyDescent="0.2">
      <c r="A263" s="956"/>
      <c r="B263" s="936" t="s">
        <v>7</v>
      </c>
      <c r="C263" s="946">
        <f>SUM(C260:C262)</f>
        <v>113.080399077</v>
      </c>
      <c r="D263" s="852">
        <f>SUM(C260:C262)</f>
        <v>113.080399077</v>
      </c>
      <c r="E263" s="946">
        <f>SUM(E260:E262)</f>
        <v>64.560518199000001</v>
      </c>
      <c r="F263" s="852">
        <f>SUM(E260:E262)</f>
        <v>64.560518199000001</v>
      </c>
      <c r="G263" s="243"/>
      <c r="H263" s="243"/>
      <c r="I263" s="243"/>
      <c r="J263" s="243"/>
      <c r="K263" s="243"/>
      <c r="L263" s="243"/>
      <c r="M263" s="243"/>
    </row>
    <row r="264" spans="1:13" x14ac:dyDescent="0.2">
      <c r="A264" s="842"/>
      <c r="B264" s="897" t="s">
        <v>587</v>
      </c>
      <c r="C264" s="898"/>
      <c r="D264" s="852"/>
      <c r="E264" s="874"/>
      <c r="F264" s="874"/>
      <c r="G264" s="243"/>
      <c r="H264" s="243"/>
      <c r="I264" s="243"/>
      <c r="J264" s="243"/>
      <c r="K264" s="243"/>
      <c r="L264" s="243"/>
      <c r="M264" s="243"/>
    </row>
    <row r="265" spans="1:13" x14ac:dyDescent="0.2">
      <c r="A265" s="842">
        <v>21130</v>
      </c>
      <c r="B265" s="934" t="s">
        <v>985</v>
      </c>
      <c r="C265" s="935">
        <f>+'[15]Input Sheet'!Q110</f>
        <v>58.238826440999993</v>
      </c>
      <c r="D265" s="852"/>
      <c r="E265" s="874">
        <v>57.851964202999994</v>
      </c>
      <c r="F265" s="874"/>
      <c r="G265" s="243"/>
      <c r="H265" s="243"/>
      <c r="I265" s="243"/>
      <c r="J265" s="243"/>
      <c r="K265" s="243"/>
      <c r="L265" s="243"/>
      <c r="M265" s="243"/>
    </row>
    <row r="266" spans="1:13" x14ac:dyDescent="0.2">
      <c r="A266" s="842">
        <v>22621</v>
      </c>
      <c r="B266" s="934" t="s">
        <v>986</v>
      </c>
      <c r="C266" s="935">
        <f>+'[15]Input Sheet'!Q120</f>
        <v>6.0891865279999999</v>
      </c>
      <c r="D266" s="852"/>
      <c r="E266" s="874">
        <v>4.880875724</v>
      </c>
      <c r="F266" s="874"/>
      <c r="G266" s="243"/>
      <c r="H266" s="243"/>
      <c r="I266" s="243"/>
      <c r="J266" s="243"/>
      <c r="K266" s="243"/>
      <c r="L266" s="243"/>
      <c r="M266" s="243"/>
    </row>
    <row r="267" spans="1:13" x14ac:dyDescent="0.2">
      <c r="A267" s="842">
        <v>22622</v>
      </c>
      <c r="B267" s="934" t="s">
        <v>987</v>
      </c>
      <c r="C267" s="935">
        <f>+'[15]Input Sheet'!Q121</f>
        <v>5.9132690000000005E-3</v>
      </c>
      <c r="D267" s="852"/>
      <c r="E267" s="874">
        <v>2.6551669999999999E-3</v>
      </c>
      <c r="F267" s="874"/>
      <c r="G267" s="243"/>
      <c r="H267" s="243"/>
      <c r="I267" s="243"/>
      <c r="J267" s="243"/>
      <c r="K267" s="243"/>
      <c r="L267" s="243"/>
      <c r="M267" s="243"/>
    </row>
    <row r="268" spans="1:13" x14ac:dyDescent="0.2">
      <c r="A268" s="842">
        <v>22625</v>
      </c>
      <c r="B268" s="939" t="s">
        <v>988</v>
      </c>
      <c r="C268" s="935">
        <f>+'[15]Input Sheet'!Q122</f>
        <v>4.4503587270000002</v>
      </c>
      <c r="D268" s="852"/>
      <c r="E268" s="874">
        <v>4.5246657479999994</v>
      </c>
      <c r="F268" s="874"/>
      <c r="G268" s="243"/>
      <c r="H268" s="243"/>
      <c r="I268" s="243"/>
      <c r="J268" s="243"/>
      <c r="K268" s="243"/>
      <c r="L268" s="243"/>
      <c r="M268" s="243"/>
    </row>
    <row r="269" spans="1:13" x14ac:dyDescent="0.2">
      <c r="A269" s="842">
        <v>22628</v>
      </c>
      <c r="B269" s="934" t="s">
        <v>989</v>
      </c>
      <c r="C269" s="935">
        <f>+'[15]Input Sheet'!Q123</f>
        <v>872.14319047800007</v>
      </c>
      <c r="D269" s="852"/>
      <c r="E269" s="874">
        <v>859.48286522199999</v>
      </c>
      <c r="F269" s="874"/>
      <c r="G269" s="243"/>
      <c r="H269" s="243"/>
      <c r="I269" s="243"/>
      <c r="J269" s="243"/>
      <c r="K269" s="243"/>
      <c r="L269" s="243"/>
      <c r="M269" s="243"/>
    </row>
    <row r="270" spans="1:13" x14ac:dyDescent="0.2">
      <c r="A270" s="842">
        <v>22631</v>
      </c>
      <c r="B270" s="934" t="s">
        <v>990</v>
      </c>
      <c r="C270" s="935">
        <f>+'[15]Input Sheet'!Q124</f>
        <v>0</v>
      </c>
      <c r="D270" s="852"/>
      <c r="E270" s="874">
        <v>-3.0975000000000002E-4</v>
      </c>
      <c r="F270" s="874"/>
      <c r="G270" s="243"/>
      <c r="H270" s="243"/>
      <c r="I270" s="243"/>
      <c r="J270" s="243"/>
      <c r="K270" s="243"/>
      <c r="L270" s="243"/>
      <c r="M270" s="243"/>
    </row>
    <row r="271" spans="1:13" x14ac:dyDescent="0.2">
      <c r="A271" s="842">
        <v>22632</v>
      </c>
      <c r="B271" s="934" t="s">
        <v>991</v>
      </c>
      <c r="C271" s="935">
        <f>+'[15]Input Sheet'!Q125</f>
        <v>0</v>
      </c>
      <c r="D271" s="852"/>
      <c r="E271" s="874">
        <v>5.6585000000000003E-3</v>
      </c>
      <c r="F271" s="874"/>
      <c r="G271" s="243"/>
      <c r="H271" s="243"/>
      <c r="I271" s="243"/>
      <c r="J271" s="243"/>
      <c r="K271" s="243"/>
      <c r="L271" s="243"/>
      <c r="M271" s="243"/>
    </row>
    <row r="272" spans="1:13" x14ac:dyDescent="0.2">
      <c r="A272" s="842">
        <v>22639</v>
      </c>
      <c r="B272" s="934" t="s">
        <v>992</v>
      </c>
      <c r="C272" s="935">
        <f>+'[15]Input Sheet'!Q126</f>
        <v>29.542025601999999</v>
      </c>
      <c r="D272" s="852"/>
      <c r="E272" s="874">
        <v>34.261869238999999</v>
      </c>
      <c r="F272" s="874"/>
      <c r="G272" s="243"/>
      <c r="H272" s="243"/>
      <c r="I272" s="243"/>
      <c r="J272" s="243"/>
      <c r="K272" s="243"/>
      <c r="L272" s="243"/>
      <c r="M272" s="243"/>
    </row>
    <row r="273" spans="1:13" x14ac:dyDescent="0.2">
      <c r="A273" s="842">
        <v>22640</v>
      </c>
      <c r="B273" s="934" t="s">
        <v>993</v>
      </c>
      <c r="C273" s="935">
        <f>+'[15]Input Sheet'!Q127</f>
        <v>1.36395037</v>
      </c>
      <c r="D273" s="852"/>
      <c r="E273" s="874">
        <v>1.407910317</v>
      </c>
      <c r="F273" s="874"/>
      <c r="G273" s="243"/>
      <c r="H273" s="243"/>
      <c r="I273" s="243"/>
      <c r="J273" s="243"/>
      <c r="K273" s="243"/>
      <c r="L273" s="243"/>
      <c r="M273" s="243"/>
    </row>
    <row r="274" spans="1:13" x14ac:dyDescent="0.2">
      <c r="A274" s="842">
        <v>22651</v>
      </c>
      <c r="B274" s="934" t="s">
        <v>994</v>
      </c>
      <c r="C274" s="935">
        <f>+'[15]Input Sheet'!Q128</f>
        <v>0</v>
      </c>
      <c r="D274" s="852"/>
      <c r="E274" s="874">
        <v>2.0000000000000001E-9</v>
      </c>
      <c r="F274" s="874"/>
      <c r="G274" s="243"/>
      <c r="H274" s="243"/>
      <c r="I274" s="243"/>
      <c r="J274" s="243"/>
      <c r="K274" s="243"/>
      <c r="L274" s="243"/>
      <c r="M274" s="243"/>
    </row>
    <row r="275" spans="1:13" x14ac:dyDescent="0.2">
      <c r="A275" s="842">
        <v>22652</v>
      </c>
      <c r="B275" s="934" t="s">
        <v>995</v>
      </c>
      <c r="C275" s="935">
        <f>+'[15]Input Sheet'!Q129</f>
        <v>0</v>
      </c>
      <c r="D275" s="852"/>
      <c r="E275" s="874">
        <v>0</v>
      </c>
      <c r="F275" s="874"/>
    </row>
    <row r="276" spans="1:13" x14ac:dyDescent="0.2">
      <c r="A276" s="842">
        <v>22653</v>
      </c>
      <c r="B276" s="934" t="s">
        <v>996</v>
      </c>
      <c r="C276" s="935">
        <f>+'[15]Input Sheet'!Q130</f>
        <v>0</v>
      </c>
      <c r="D276" s="852"/>
      <c r="E276" s="874">
        <v>0</v>
      </c>
      <c r="F276" s="874"/>
    </row>
    <row r="277" spans="1:13" x14ac:dyDescent="0.2">
      <c r="A277" s="842">
        <v>22654</v>
      </c>
      <c r="B277" s="934" t="s">
        <v>997</v>
      </c>
      <c r="C277" s="935">
        <f>+'[15]Input Sheet'!Q131</f>
        <v>0</v>
      </c>
      <c r="D277" s="852"/>
      <c r="E277" s="874">
        <v>0</v>
      </c>
      <c r="F277" s="874"/>
    </row>
    <row r="278" spans="1:13" x14ac:dyDescent="0.2">
      <c r="A278" s="842">
        <v>22655</v>
      </c>
      <c r="B278" s="934" t="s">
        <v>998</v>
      </c>
      <c r="C278" s="935">
        <f>+'[15]Input Sheet'!Q132</f>
        <v>0</v>
      </c>
      <c r="D278" s="852"/>
      <c r="E278" s="874">
        <v>0</v>
      </c>
      <c r="F278" s="874"/>
    </row>
    <row r="279" spans="1:13" ht="25.5" x14ac:dyDescent="0.2">
      <c r="A279" s="842">
        <v>22656</v>
      </c>
      <c r="B279" s="939" t="s">
        <v>999</v>
      </c>
      <c r="C279" s="935">
        <f>+'[15]Input Sheet'!Q133</f>
        <v>0</v>
      </c>
      <c r="D279" s="852"/>
      <c r="E279" s="874">
        <v>0</v>
      </c>
      <c r="F279" s="874"/>
    </row>
    <row r="280" spans="1:13" x14ac:dyDescent="0.2">
      <c r="A280" s="842">
        <v>22830</v>
      </c>
      <c r="B280" s="934" t="s">
        <v>1000</v>
      </c>
      <c r="C280" s="935">
        <f>+'[15]Input Sheet'!Q135</f>
        <v>1.2676174579999999</v>
      </c>
      <c r="D280" s="852"/>
      <c r="E280" s="874">
        <v>1.460201758</v>
      </c>
      <c r="F280" s="874"/>
    </row>
    <row r="281" spans="1:13" x14ac:dyDescent="0.2">
      <c r="A281" s="842">
        <v>22831</v>
      </c>
      <c r="B281" s="939" t="s">
        <v>1001</v>
      </c>
      <c r="C281" s="935">
        <f>+'[15]Input Sheet'!Q136</f>
        <v>0</v>
      </c>
      <c r="D281" s="852"/>
      <c r="E281" s="874">
        <v>0</v>
      </c>
      <c r="F281" s="874"/>
    </row>
    <row r="282" spans="1:13" x14ac:dyDescent="0.2">
      <c r="A282" s="842">
        <v>22832</v>
      </c>
      <c r="B282" s="934" t="s">
        <v>1002</v>
      </c>
      <c r="C282" s="935">
        <f>+'[15]Input Sheet'!Q137</f>
        <v>0</v>
      </c>
      <c r="D282" s="852"/>
      <c r="E282" s="874">
        <v>0</v>
      </c>
      <c r="F282" s="874"/>
    </row>
    <row r="283" spans="1:13" x14ac:dyDescent="0.2">
      <c r="A283" s="842"/>
      <c r="B283" s="936" t="s">
        <v>7</v>
      </c>
      <c r="C283" s="946">
        <f>SUM(C265:C282)</f>
        <v>973.10106887300003</v>
      </c>
      <c r="D283" s="891">
        <f>SUM(C265:C282)</f>
        <v>973.10106887300003</v>
      </c>
      <c r="E283" s="946">
        <f>SUM(E265:E282)</f>
        <v>963.87835612999993</v>
      </c>
      <c r="F283" s="892">
        <f>SUM(E265:E282)</f>
        <v>963.87835612999993</v>
      </c>
    </row>
    <row r="284" spans="1:13" ht="25.5" x14ac:dyDescent="0.2">
      <c r="A284" s="842">
        <v>46963</v>
      </c>
      <c r="B284" s="897" t="s">
        <v>589</v>
      </c>
      <c r="C284" s="898"/>
      <c r="D284" s="852">
        <f>-('[15]Input Sheet'!Q723)</f>
        <v>-410.59314440600002</v>
      </c>
      <c r="E284" s="874"/>
      <c r="F284" s="874">
        <v>-385.94918471199998</v>
      </c>
    </row>
    <row r="285" spans="1:13" ht="25.5" x14ac:dyDescent="0.2">
      <c r="A285" s="956">
        <v>46970</v>
      </c>
      <c r="B285" s="897" t="s">
        <v>1003</v>
      </c>
      <c r="C285" s="898"/>
      <c r="D285" s="900">
        <f>-('[15]Input Sheet'!Q724)</f>
        <v>-83.069232370999998</v>
      </c>
      <c r="E285" s="874"/>
      <c r="F285" s="874">
        <v>-39.395743226999997</v>
      </c>
    </row>
    <row r="286" spans="1:13" x14ac:dyDescent="0.2">
      <c r="A286" s="842"/>
      <c r="B286" s="936"/>
      <c r="C286" s="937"/>
      <c r="D286" s="861">
        <f>SUM(D283:D285)</f>
        <v>479.43869209600007</v>
      </c>
      <c r="E286" s="874"/>
      <c r="F286" s="876">
        <f>SUM(F283:F285)</f>
        <v>538.53342819099987</v>
      </c>
    </row>
    <row r="287" spans="1:13" ht="13.5" thickBot="1" x14ac:dyDescent="0.25">
      <c r="A287" s="842"/>
      <c r="B287" s="948" t="s">
        <v>1004</v>
      </c>
      <c r="C287" s="949"/>
      <c r="D287" s="870">
        <f>D229+D242+D248+D249+D256+D258+D263+D286</f>
        <v>2943.5795060350001</v>
      </c>
      <c r="E287" s="874"/>
      <c r="F287" s="894">
        <f>F229+F242+F248+F249+F256+F258+F263+F286</f>
        <v>2114.7825896699997</v>
      </c>
    </row>
    <row r="288" spans="1:13" ht="13.5" thickTop="1" x14ac:dyDescent="0.2">
      <c r="A288" s="842"/>
      <c r="B288" s="818"/>
      <c r="C288" s="852"/>
      <c r="D288" s="852"/>
      <c r="E288" s="874"/>
      <c r="F288" s="874"/>
    </row>
    <row r="289" spans="1:13" x14ac:dyDescent="0.2">
      <c r="A289" s="881"/>
      <c r="B289" s="958"/>
      <c r="C289" s="900"/>
      <c r="D289" s="900"/>
      <c r="E289" s="874"/>
      <c r="F289" s="874"/>
    </row>
    <row r="290" spans="1:13" x14ac:dyDescent="0.2">
      <c r="A290" s="928" t="s">
        <v>1005</v>
      </c>
      <c r="B290" s="929" t="s">
        <v>592</v>
      </c>
      <c r="C290" s="891"/>
      <c r="D290" s="888"/>
      <c r="E290" s="874"/>
      <c r="F290" s="874"/>
      <c r="K290" s="862"/>
      <c r="L290" s="862"/>
      <c r="M290" s="862"/>
    </row>
    <row r="291" spans="1:13" x14ac:dyDescent="0.2">
      <c r="A291" s="842"/>
      <c r="B291" s="909" t="s">
        <v>593</v>
      </c>
      <c r="C291" s="917"/>
      <c r="D291" s="852"/>
      <c r="E291" s="874"/>
      <c r="F291" s="874"/>
    </row>
    <row r="292" spans="1:13" ht="25.5" x14ac:dyDescent="0.2">
      <c r="A292" s="842">
        <v>99201</v>
      </c>
      <c r="B292" s="939" t="s">
        <v>1006</v>
      </c>
      <c r="C292" s="896">
        <f>+'[15]Input Sheet'!Q1393</f>
        <v>180.85043202400001</v>
      </c>
      <c r="D292" s="852"/>
      <c r="E292" s="874">
        <v>166.13424910099999</v>
      </c>
      <c r="F292" s="874"/>
    </row>
    <row r="293" spans="1:13" ht="25.5" x14ac:dyDescent="0.2">
      <c r="A293" s="842">
        <v>99202</v>
      </c>
      <c r="B293" s="939" t="s">
        <v>1007</v>
      </c>
      <c r="C293" s="896">
        <f>+'[15]Input Sheet'!Q1394</f>
        <v>0</v>
      </c>
      <c r="D293" s="852"/>
      <c r="E293" s="874">
        <v>0</v>
      </c>
      <c r="F293" s="874"/>
    </row>
    <row r="294" spans="1:13" ht="25.5" x14ac:dyDescent="0.2">
      <c r="A294" s="842">
        <v>99203</v>
      </c>
      <c r="B294" s="939" t="s">
        <v>1008</v>
      </c>
      <c r="C294" s="896">
        <f>+'[15]Input Sheet'!Q1395</f>
        <v>0</v>
      </c>
      <c r="D294" s="852"/>
      <c r="E294" s="874">
        <v>0</v>
      </c>
      <c r="F294" s="874"/>
    </row>
    <row r="295" spans="1:13" ht="25.5" x14ac:dyDescent="0.2">
      <c r="A295" s="842">
        <v>99204</v>
      </c>
      <c r="B295" s="939" t="s">
        <v>1009</v>
      </c>
      <c r="C295" s="896">
        <f>+'[15]Input Sheet'!Q1396</f>
        <v>0</v>
      </c>
      <c r="D295" s="852"/>
      <c r="E295" s="874">
        <v>0</v>
      </c>
      <c r="F295" s="874"/>
    </row>
    <row r="296" spans="1:13" ht="25.5" x14ac:dyDescent="0.2">
      <c r="A296" s="842">
        <v>99205</v>
      </c>
      <c r="B296" s="939" t="s">
        <v>1010</v>
      </c>
      <c r="C296" s="896">
        <f>++H1447</f>
        <v>25773.382340855656</v>
      </c>
      <c r="D296" s="852"/>
      <c r="E296" s="874">
        <f>25980.932014684-F160</f>
        <v>17930.348681350661</v>
      </c>
      <c r="F296" s="874"/>
    </row>
    <row r="297" spans="1:13" x14ac:dyDescent="0.2">
      <c r="A297" s="842">
        <v>99208</v>
      </c>
      <c r="B297" s="909" t="s">
        <v>1011</v>
      </c>
      <c r="C297" s="896">
        <f>+'[15]Input Sheet'!Q1400</f>
        <v>2.55582624</v>
      </c>
      <c r="D297" s="852"/>
      <c r="E297" s="874">
        <v>0.83611440000000004</v>
      </c>
      <c r="F297" s="874"/>
    </row>
    <row r="298" spans="1:13" x14ac:dyDescent="0.2">
      <c r="A298" s="842">
        <v>99206</v>
      </c>
      <c r="B298" s="934" t="s">
        <v>1012</v>
      </c>
      <c r="C298" s="935">
        <f>+'[15]Input Sheet'!Q1398</f>
        <v>38.719276029</v>
      </c>
      <c r="D298" s="852"/>
      <c r="E298" s="874">
        <v>38.543622323999998</v>
      </c>
      <c r="F298" s="874"/>
    </row>
    <row r="299" spans="1:13" x14ac:dyDescent="0.2">
      <c r="A299" s="842"/>
      <c r="B299" s="934" t="s">
        <v>1013</v>
      </c>
      <c r="C299" s="959">
        <v>-534.390865045537</v>
      </c>
      <c r="D299" s="960"/>
      <c r="E299" s="901">
        <v>-796.33742220639203</v>
      </c>
      <c r="F299" s="901"/>
    </row>
    <row r="300" spans="1:13" x14ac:dyDescent="0.2">
      <c r="A300" s="842"/>
      <c r="B300" s="934"/>
      <c r="C300" s="935">
        <f>SUM(C292:C299)</f>
        <v>25461.11701010312</v>
      </c>
      <c r="D300" s="852">
        <f>SUM(C292:C299)</f>
        <v>25461.11701010312</v>
      </c>
      <c r="E300" s="935">
        <f>SUM(E292:E299)</f>
        <v>17339.525244969271</v>
      </c>
      <c r="F300" s="938">
        <f>SUM(E292:E299)</f>
        <v>17339.525244969271</v>
      </c>
    </row>
    <row r="301" spans="1:13" x14ac:dyDescent="0.2">
      <c r="A301" s="842">
        <v>27900</v>
      </c>
      <c r="B301" s="961" t="s">
        <v>595</v>
      </c>
      <c r="C301" s="962"/>
      <c r="D301" s="962">
        <f>+I1447</f>
        <v>-183.68105705100001</v>
      </c>
      <c r="E301" s="962"/>
      <c r="F301" s="962">
        <f>-183.681057051</f>
        <v>-183.68105705100001</v>
      </c>
    </row>
    <row r="302" spans="1:13" x14ac:dyDescent="0.2">
      <c r="A302" s="963">
        <v>99208</v>
      </c>
      <c r="B302" s="909" t="s">
        <v>1011</v>
      </c>
      <c r="C302" s="962"/>
      <c r="D302" s="964"/>
      <c r="E302" s="874"/>
      <c r="F302" s="874">
        <v>0</v>
      </c>
    </row>
    <row r="303" spans="1:13" x14ac:dyDescent="0.2">
      <c r="A303" s="963">
        <v>99209</v>
      </c>
      <c r="B303" s="909" t="s">
        <v>1014</v>
      </c>
      <c r="C303" s="962"/>
      <c r="D303" s="964">
        <f>+IF('[15]Input Sheet'!Q1401&gt;=0, '[15]Input Sheet'!Q1401,0)</f>
        <v>0</v>
      </c>
      <c r="E303" s="874"/>
      <c r="F303" s="874">
        <v>0</v>
      </c>
    </row>
    <row r="304" spans="1:13" x14ac:dyDescent="0.2">
      <c r="A304" s="842">
        <v>28891</v>
      </c>
      <c r="B304" s="934" t="s">
        <v>1015</v>
      </c>
      <c r="C304" s="935"/>
      <c r="D304" s="852">
        <f>'[15]Input Sheet'!Q546</f>
        <v>1646.6154007600001</v>
      </c>
      <c r="E304" s="874"/>
      <c r="F304" s="874">
        <v>5564.6297004089993</v>
      </c>
      <c r="M304" s="243"/>
    </row>
    <row r="305" spans="1:13" ht="13.5" thickBot="1" x14ac:dyDescent="0.25">
      <c r="A305" s="842"/>
      <c r="B305" s="965"/>
      <c r="C305" s="966"/>
      <c r="D305" s="916">
        <f>+SUM(D300:D304)</f>
        <v>26924.051353812123</v>
      </c>
      <c r="E305" s="874"/>
      <c r="F305" s="916">
        <f>+SUM(F300:F304)</f>
        <v>22720.473888327273</v>
      </c>
    </row>
    <row r="306" spans="1:13" ht="13.5" thickTop="1" x14ac:dyDescent="0.2">
      <c r="A306" s="842"/>
      <c r="B306" s="818"/>
      <c r="C306" s="852"/>
      <c r="D306" s="852"/>
      <c r="E306" s="874"/>
      <c r="F306" s="874"/>
    </row>
    <row r="307" spans="1:13" x14ac:dyDescent="0.2">
      <c r="A307" s="849" t="s">
        <v>1016</v>
      </c>
      <c r="B307" s="850" t="s">
        <v>598</v>
      </c>
      <c r="C307" s="861"/>
      <c r="D307" s="861"/>
      <c r="E307" s="889"/>
      <c r="F307" s="889"/>
      <c r="G307" s="862"/>
      <c r="H307" s="862"/>
      <c r="I307" s="862"/>
      <c r="J307" s="862"/>
      <c r="K307" s="862"/>
      <c r="L307" s="862"/>
      <c r="M307" s="862"/>
    </row>
    <row r="308" spans="1:13" x14ac:dyDescent="0.2">
      <c r="A308" s="842"/>
      <c r="B308" s="909" t="s">
        <v>599</v>
      </c>
      <c r="C308" s="917"/>
      <c r="D308" s="852"/>
      <c r="E308" s="874"/>
      <c r="F308" s="874"/>
    </row>
    <row r="309" spans="1:13" x14ac:dyDescent="0.2">
      <c r="A309" s="842"/>
      <c r="B309" s="967" t="s">
        <v>600</v>
      </c>
      <c r="C309" s="910"/>
      <c r="D309" s="852">
        <f>IF(D1154&gt;0,D1154,0)</f>
        <v>6.8380321949999985</v>
      </c>
      <c r="E309" s="874"/>
      <c r="F309" s="874">
        <v>263.66342570199998</v>
      </c>
    </row>
    <row r="310" spans="1:13" x14ac:dyDescent="0.2">
      <c r="A310" s="842"/>
      <c r="B310" s="909" t="s">
        <v>1017</v>
      </c>
      <c r="C310" s="910"/>
      <c r="D310" s="852"/>
      <c r="E310" s="874"/>
      <c r="F310" s="874"/>
    </row>
    <row r="311" spans="1:13" x14ac:dyDescent="0.2">
      <c r="A311" s="842"/>
      <c r="B311" s="909" t="s">
        <v>1018</v>
      </c>
      <c r="C311" s="910"/>
      <c r="D311" s="852"/>
      <c r="E311" s="874"/>
      <c r="F311" s="874"/>
    </row>
    <row r="312" spans="1:13" x14ac:dyDescent="0.2">
      <c r="A312" s="842">
        <v>25101</v>
      </c>
      <c r="B312" s="909" t="s">
        <v>916</v>
      </c>
      <c r="C312" s="910">
        <f>'[15]Input Sheet'!Q477</f>
        <v>0</v>
      </c>
      <c r="D312" s="852"/>
      <c r="E312" s="874"/>
      <c r="F312" s="874"/>
    </row>
    <row r="313" spans="1:13" x14ac:dyDescent="0.2">
      <c r="A313" s="842">
        <v>25102</v>
      </c>
      <c r="B313" s="909" t="s">
        <v>917</v>
      </c>
      <c r="C313" s="968">
        <f>'[15]Input Sheet'!Q478</f>
        <v>0</v>
      </c>
      <c r="D313" s="852"/>
      <c r="E313" s="874"/>
      <c r="F313" s="874"/>
    </row>
    <row r="314" spans="1:13" x14ac:dyDescent="0.2">
      <c r="A314" s="842">
        <v>25103</v>
      </c>
      <c r="B314" s="909" t="s">
        <v>918</v>
      </c>
      <c r="C314" s="969">
        <f>'[15]Input Sheet'!Q479</f>
        <v>0</v>
      </c>
      <c r="D314" s="852">
        <f>SUM(C312:C314)</f>
        <v>0</v>
      </c>
      <c r="E314" s="874"/>
      <c r="F314" s="874">
        <f>SUM(E312:E314)</f>
        <v>0</v>
      </c>
    </row>
    <row r="315" spans="1:13" x14ac:dyDescent="0.2">
      <c r="A315" s="842"/>
      <c r="B315" s="909" t="s">
        <v>602</v>
      </c>
      <c r="C315" s="917"/>
      <c r="D315" s="900">
        <f>D860</f>
        <v>1.139657E-2</v>
      </c>
      <c r="E315" s="874"/>
      <c r="F315" s="874">
        <v>1.4654745E-2</v>
      </c>
    </row>
    <row r="316" spans="1:13" ht="13.5" thickBot="1" x14ac:dyDescent="0.25">
      <c r="A316" s="842"/>
      <c r="B316" s="914"/>
      <c r="C316" s="915"/>
      <c r="D316" s="916">
        <f>SUM(D309:D315)</f>
        <v>6.8494287649999981</v>
      </c>
      <c r="E316" s="874"/>
      <c r="F316" s="970">
        <f>SUM(F309:F315)</f>
        <v>263.67808044699996</v>
      </c>
    </row>
    <row r="317" spans="1:13" ht="13.5" thickTop="1" x14ac:dyDescent="0.2">
      <c r="A317" s="849" t="s">
        <v>358</v>
      </c>
      <c r="B317" s="850" t="s">
        <v>603</v>
      </c>
      <c r="C317" s="861"/>
      <c r="D317" s="861"/>
      <c r="E317" s="889"/>
      <c r="F317" s="889"/>
      <c r="G317" s="862"/>
      <c r="H317" s="862"/>
      <c r="I317" s="862"/>
      <c r="J317" s="862"/>
      <c r="K317" s="862"/>
      <c r="L317" s="862"/>
      <c r="M317" s="862"/>
    </row>
    <row r="318" spans="1:13" x14ac:dyDescent="0.2">
      <c r="A318" s="842"/>
      <c r="B318" s="944" t="s">
        <v>1019</v>
      </c>
      <c r="C318" s="917"/>
      <c r="D318" s="852"/>
      <c r="E318" s="874"/>
      <c r="F318" s="874"/>
    </row>
    <row r="319" spans="1:13" x14ac:dyDescent="0.2">
      <c r="A319" s="842">
        <v>27101</v>
      </c>
      <c r="B319" s="934" t="s">
        <v>941</v>
      </c>
      <c r="C319" s="935">
        <f>+'[15]Input Sheet'!Q490</f>
        <v>0</v>
      </c>
      <c r="D319" s="852"/>
      <c r="E319" s="874">
        <v>-4.2678999999999998E-3</v>
      </c>
      <c r="F319" s="874"/>
    </row>
    <row r="320" spans="1:13" x14ac:dyDescent="0.2">
      <c r="A320" s="842">
        <v>27102</v>
      </c>
      <c r="B320" s="934" t="s">
        <v>942</v>
      </c>
      <c r="C320" s="935">
        <f>+'[15]Input Sheet'!Q491</f>
        <v>3.7869865999999995E-2</v>
      </c>
      <c r="D320" s="852"/>
      <c r="E320" s="874">
        <v>1.5937779999999999E-2</v>
      </c>
      <c r="F320" s="874"/>
    </row>
    <row r="321" spans="1:13" ht="13.5" customHeight="1" x14ac:dyDescent="0.2">
      <c r="A321" s="842">
        <v>27103</v>
      </c>
      <c r="B321" s="934" t="s">
        <v>943</v>
      </c>
      <c r="C321" s="935">
        <f>+'[15]Input Sheet'!Q492</f>
        <v>0</v>
      </c>
      <c r="D321" s="852"/>
      <c r="E321" s="874">
        <v>0</v>
      </c>
      <c r="F321" s="874"/>
    </row>
    <row r="322" spans="1:13" x14ac:dyDescent="0.2">
      <c r="A322" s="842">
        <v>27104</v>
      </c>
      <c r="B322" s="934" t="s">
        <v>944</v>
      </c>
      <c r="C322" s="935">
        <f>+'[15]Input Sheet'!Q493</f>
        <v>0</v>
      </c>
      <c r="D322" s="852"/>
      <c r="E322" s="874">
        <v>0</v>
      </c>
      <c r="F322" s="874"/>
    </row>
    <row r="323" spans="1:13" x14ac:dyDescent="0.2">
      <c r="A323" s="842">
        <v>27105</v>
      </c>
      <c r="B323" s="934" t="s">
        <v>945</v>
      </c>
      <c r="C323" s="935">
        <f>+'[15]Input Sheet'!Q494</f>
        <v>2.9250000000000001E-3</v>
      </c>
      <c r="D323" s="852"/>
      <c r="E323" s="874">
        <v>0.10752818700000001</v>
      </c>
      <c r="F323" s="874"/>
    </row>
    <row r="324" spans="1:13" x14ac:dyDescent="0.2">
      <c r="A324" s="842">
        <v>27201</v>
      </c>
      <c r="B324" s="934" t="s">
        <v>946</v>
      </c>
      <c r="C324" s="935">
        <f>+'[15]Input Sheet'!Q495</f>
        <v>0</v>
      </c>
      <c r="D324" s="852"/>
      <c r="E324" s="874">
        <v>0</v>
      </c>
      <c r="F324" s="874"/>
    </row>
    <row r="325" spans="1:13" x14ac:dyDescent="0.2">
      <c r="A325" s="842">
        <v>27202</v>
      </c>
      <c r="B325" s="934" t="s">
        <v>947</v>
      </c>
      <c r="C325" s="935">
        <f>+'[15]Input Sheet'!Q496</f>
        <v>1.3331232999999998E-2</v>
      </c>
      <c r="D325" s="852"/>
      <c r="E325" s="874">
        <v>0</v>
      </c>
      <c r="F325" s="874"/>
    </row>
    <row r="326" spans="1:13" x14ac:dyDescent="0.2">
      <c r="A326" s="842">
        <v>27203</v>
      </c>
      <c r="B326" s="934" t="s">
        <v>948</v>
      </c>
      <c r="C326" s="935">
        <f>+'[15]Input Sheet'!Q497</f>
        <v>1.0979449999999999</v>
      </c>
      <c r="D326" s="852"/>
      <c r="E326" s="874">
        <v>1.1761035</v>
      </c>
      <c r="F326" s="874"/>
      <c r="G326" s="243"/>
      <c r="H326" s="243"/>
      <c r="I326" s="243"/>
      <c r="J326" s="243"/>
      <c r="K326" s="243"/>
      <c r="L326" s="243"/>
      <c r="M326" s="243"/>
    </row>
    <row r="327" spans="1:13" x14ac:dyDescent="0.2">
      <c r="A327" s="842">
        <v>27204</v>
      </c>
      <c r="B327" s="934" t="s">
        <v>949</v>
      </c>
      <c r="C327" s="934">
        <f>+'[15]Input Sheet'!Q498</f>
        <v>0</v>
      </c>
      <c r="D327" s="852"/>
      <c r="E327" s="874">
        <v>0</v>
      </c>
      <c r="F327" s="874"/>
      <c r="G327" s="243"/>
      <c r="H327" s="243"/>
      <c r="I327" s="243"/>
      <c r="J327" s="243"/>
      <c r="K327" s="243"/>
      <c r="L327" s="243"/>
      <c r="M327" s="243"/>
    </row>
    <row r="328" spans="1:13" ht="15" x14ac:dyDescent="0.2">
      <c r="A328" s="842">
        <v>27205</v>
      </c>
      <c r="B328" s="865" t="s">
        <v>950</v>
      </c>
      <c r="C328" s="935">
        <f>+'[15]Input Sheet'!Q499</f>
        <v>0</v>
      </c>
      <c r="D328" s="852"/>
      <c r="E328" s="874">
        <v>0</v>
      </c>
      <c r="F328" s="874"/>
      <c r="G328" s="243"/>
      <c r="H328" s="243"/>
      <c r="I328" s="243"/>
      <c r="J328" s="243"/>
      <c r="K328" s="243"/>
      <c r="L328" s="243"/>
      <c r="M328" s="243"/>
    </row>
    <row r="329" spans="1:13" x14ac:dyDescent="0.2">
      <c r="A329" s="842">
        <v>27207</v>
      </c>
      <c r="B329" s="934" t="s">
        <v>951</v>
      </c>
      <c r="C329" s="935">
        <f>+'[15]Input Sheet'!Q500</f>
        <v>0</v>
      </c>
      <c r="D329" s="852"/>
      <c r="E329" s="874">
        <v>0</v>
      </c>
      <c r="F329" s="874"/>
      <c r="G329" s="243"/>
      <c r="H329" s="243"/>
      <c r="I329" s="243"/>
      <c r="J329" s="243"/>
      <c r="K329" s="243"/>
      <c r="L329" s="243"/>
      <c r="M329" s="243"/>
    </row>
    <row r="330" spans="1:13" x14ac:dyDescent="0.2">
      <c r="A330" s="842">
        <v>27208</v>
      </c>
      <c r="B330" s="934" t="s">
        <v>952</v>
      </c>
      <c r="C330" s="935">
        <f>+'[15]Input Sheet'!Q501</f>
        <v>0</v>
      </c>
      <c r="D330" s="852"/>
      <c r="E330" s="874">
        <v>0</v>
      </c>
      <c r="F330" s="874"/>
      <c r="G330" s="243"/>
      <c r="H330" s="243"/>
      <c r="I330" s="243"/>
      <c r="J330" s="243"/>
      <c r="K330" s="243"/>
      <c r="L330" s="243"/>
      <c r="M330" s="243"/>
    </row>
    <row r="331" spans="1:13" x14ac:dyDescent="0.2">
      <c r="A331" s="842">
        <v>27209</v>
      </c>
      <c r="B331" s="934" t="s">
        <v>953</v>
      </c>
      <c r="C331" s="935">
        <f>+'[15]Input Sheet'!Q502</f>
        <v>1.0620000000000001E-4</v>
      </c>
      <c r="D331" s="852"/>
      <c r="E331" s="874">
        <v>1.0620000000000001E-4</v>
      </c>
      <c r="F331" s="874"/>
      <c r="G331" s="243"/>
      <c r="H331" s="243"/>
      <c r="I331" s="243"/>
      <c r="J331" s="243"/>
      <c r="K331" s="243"/>
      <c r="L331" s="243"/>
      <c r="M331" s="243"/>
    </row>
    <row r="332" spans="1:13" ht="15" x14ac:dyDescent="0.2">
      <c r="A332" s="842">
        <v>27210</v>
      </c>
      <c r="B332" s="865" t="s">
        <v>954</v>
      </c>
      <c r="C332" s="935">
        <f>+'[15]Input Sheet'!Q503</f>
        <v>0</v>
      </c>
      <c r="D332" s="852"/>
      <c r="E332" s="874">
        <v>0</v>
      </c>
      <c r="F332" s="874"/>
      <c r="G332" s="243"/>
      <c r="H332" s="243"/>
      <c r="I332" s="243"/>
      <c r="J332" s="243"/>
      <c r="K332" s="243"/>
      <c r="L332" s="243"/>
      <c r="M332" s="243"/>
    </row>
    <row r="333" spans="1:13" x14ac:dyDescent="0.2">
      <c r="A333" s="842">
        <v>27215</v>
      </c>
      <c r="B333" s="934" t="s">
        <v>955</v>
      </c>
      <c r="C333" s="935">
        <f>+'[15]Input Sheet'!Q504</f>
        <v>8.9930000000000001E-4</v>
      </c>
      <c r="D333" s="852"/>
      <c r="E333" s="874">
        <v>8.9930000000000001E-4</v>
      </c>
      <c r="F333" s="874"/>
      <c r="G333" s="243"/>
      <c r="H333" s="243"/>
      <c r="I333" s="243"/>
      <c r="J333" s="243"/>
      <c r="K333" s="243"/>
      <c r="L333" s="243"/>
      <c r="M333" s="243"/>
    </row>
    <row r="334" spans="1:13" x14ac:dyDescent="0.2">
      <c r="A334" s="842">
        <v>99101</v>
      </c>
      <c r="B334" s="934" t="s">
        <v>923</v>
      </c>
      <c r="C334" s="935">
        <f>+H1439</f>
        <v>0</v>
      </c>
      <c r="D334" s="852"/>
      <c r="E334" s="874">
        <v>0</v>
      </c>
      <c r="F334" s="874"/>
      <c r="G334" s="243"/>
      <c r="H334" s="243"/>
      <c r="I334" s="243"/>
      <c r="J334" s="243"/>
      <c r="K334" s="243"/>
      <c r="L334" s="243"/>
      <c r="M334" s="243"/>
    </row>
    <row r="335" spans="1:13" x14ac:dyDescent="0.2">
      <c r="A335" s="842">
        <v>99106</v>
      </c>
      <c r="B335" s="934" t="s">
        <v>1020</v>
      </c>
      <c r="C335" s="935">
        <f>+'[15]Input Sheet'!L1380</f>
        <v>0.73459189999999996</v>
      </c>
      <c r="D335" s="900"/>
      <c r="E335" s="874">
        <v>0.48509429999999998</v>
      </c>
      <c r="F335" s="874"/>
      <c r="G335" s="243"/>
      <c r="H335" s="243"/>
      <c r="I335" s="243"/>
      <c r="J335" s="243"/>
      <c r="K335" s="243"/>
      <c r="L335" s="243"/>
      <c r="M335" s="243"/>
    </row>
    <row r="336" spans="1:13" ht="12" customHeight="1" x14ac:dyDescent="0.2">
      <c r="A336" s="842"/>
      <c r="B336" s="936" t="s">
        <v>7</v>
      </c>
      <c r="C336" s="946">
        <f>SUM(C319:C335)</f>
        <v>1.8876684990000001</v>
      </c>
      <c r="D336" s="852">
        <f>SUM(C319:C335)</f>
        <v>1.8876684990000001</v>
      </c>
      <c r="E336" s="946">
        <f>SUM(E319:E335)</f>
        <v>1.781401367</v>
      </c>
      <c r="F336" s="938">
        <f>SUM(E319:E335)</f>
        <v>1.781401367</v>
      </c>
      <c r="G336" s="243"/>
      <c r="H336" s="243"/>
      <c r="I336" s="243"/>
      <c r="J336" s="243"/>
      <c r="K336" s="243"/>
      <c r="L336" s="243"/>
      <c r="M336" s="243"/>
    </row>
    <row r="337" spans="1:13" x14ac:dyDescent="0.2">
      <c r="A337" s="842">
        <v>46953</v>
      </c>
      <c r="B337" s="971" t="s">
        <v>1021</v>
      </c>
      <c r="C337" s="972"/>
      <c r="D337" s="852">
        <f>+IF(('[15]Input Sheet'!Q719&gt;0), 0, -'[15]Input Sheet'!Q719)</f>
        <v>0</v>
      </c>
      <c r="E337" s="874"/>
      <c r="F337" s="874">
        <v>0</v>
      </c>
      <c r="G337" s="243"/>
      <c r="H337" s="243"/>
      <c r="I337" s="243"/>
      <c r="J337" s="243"/>
      <c r="K337" s="243"/>
      <c r="L337" s="243"/>
      <c r="M337" s="243"/>
    </row>
    <row r="338" spans="1:13" x14ac:dyDescent="0.2">
      <c r="A338" s="842"/>
      <c r="B338" s="944" t="s">
        <v>1022</v>
      </c>
      <c r="C338" s="917"/>
      <c r="D338" s="852"/>
      <c r="E338" s="874"/>
      <c r="F338" s="874"/>
      <c r="G338" s="243"/>
      <c r="H338" s="243"/>
      <c r="I338" s="243"/>
      <c r="J338" s="243"/>
      <c r="K338" s="243"/>
      <c r="L338" s="243"/>
      <c r="M338" s="243"/>
    </row>
    <row r="339" spans="1:13" x14ac:dyDescent="0.2">
      <c r="A339" s="842">
        <v>27890</v>
      </c>
      <c r="B339" s="936" t="s">
        <v>925</v>
      </c>
      <c r="C339" s="935"/>
      <c r="D339" s="852">
        <f>'[15]Input Sheet'!Q512</f>
        <v>0</v>
      </c>
      <c r="E339" s="874"/>
      <c r="F339" s="874">
        <v>0</v>
      </c>
      <c r="G339" s="243"/>
      <c r="H339" s="243"/>
      <c r="I339" s="243"/>
      <c r="J339" s="243"/>
      <c r="K339" s="243"/>
      <c r="L339" s="243"/>
      <c r="M339" s="243"/>
    </row>
    <row r="340" spans="1:13" x14ac:dyDescent="0.2">
      <c r="A340" s="881"/>
      <c r="B340" s="973" t="s">
        <v>7</v>
      </c>
      <c r="C340" s="974"/>
      <c r="D340" s="884">
        <f>D336+D339+D337</f>
        <v>1.8876684990000001</v>
      </c>
      <c r="E340" s="874"/>
      <c r="F340" s="885">
        <f>F336+F339</f>
        <v>1.781401367</v>
      </c>
      <c r="G340" s="243"/>
      <c r="H340" s="243"/>
      <c r="I340" s="243"/>
      <c r="J340" s="243"/>
      <c r="K340" s="243"/>
      <c r="L340" s="243"/>
      <c r="M340" s="243"/>
    </row>
    <row r="341" spans="1:13" x14ac:dyDescent="0.2">
      <c r="A341" s="924"/>
      <c r="C341" s="927"/>
      <c r="D341" s="927"/>
      <c r="E341" s="874"/>
      <c r="F341" s="874"/>
      <c r="G341" s="243"/>
      <c r="H341" s="243"/>
      <c r="I341" s="243"/>
      <c r="J341" s="243"/>
      <c r="K341" s="243"/>
      <c r="L341" s="243"/>
      <c r="M341" s="243"/>
    </row>
    <row r="342" spans="1:13" x14ac:dyDescent="0.2">
      <c r="A342" s="924"/>
      <c r="C342" s="927"/>
      <c r="D342" s="927"/>
      <c r="E342" s="874"/>
      <c r="F342" s="874"/>
      <c r="M342" s="243"/>
    </row>
    <row r="343" spans="1:13" x14ac:dyDescent="0.2">
      <c r="A343" s="928" t="s">
        <v>359</v>
      </c>
      <c r="B343" s="929" t="s">
        <v>607</v>
      </c>
      <c r="C343" s="891"/>
      <c r="D343" s="891"/>
      <c r="E343" s="889"/>
      <c r="F343" s="889"/>
      <c r="G343" s="862"/>
      <c r="H343" s="862"/>
      <c r="I343" s="862"/>
      <c r="J343" s="862"/>
      <c r="K343" s="862"/>
      <c r="L343" s="862"/>
      <c r="M343" s="243"/>
    </row>
    <row r="344" spans="1:13" x14ac:dyDescent="0.2">
      <c r="A344" s="842"/>
      <c r="B344" s="818"/>
      <c r="C344" s="852"/>
      <c r="D344" s="852"/>
      <c r="E344" s="874"/>
      <c r="F344" s="874"/>
      <c r="M344" s="243"/>
    </row>
    <row r="345" spans="1:13" x14ac:dyDescent="0.2">
      <c r="A345" s="842"/>
      <c r="B345" s="936" t="s">
        <v>609</v>
      </c>
      <c r="C345" s="935"/>
      <c r="D345" s="852"/>
      <c r="E345" s="874"/>
      <c r="F345" s="874"/>
      <c r="M345" s="243"/>
    </row>
    <row r="346" spans="1:13" x14ac:dyDescent="0.2">
      <c r="A346" s="842">
        <v>28260</v>
      </c>
      <c r="B346" s="934" t="s">
        <v>1023</v>
      </c>
      <c r="C346" s="935">
        <f>+'[15]Input Sheet'!Q516</f>
        <v>7.5023920000000001E-3</v>
      </c>
      <c r="D346" s="852"/>
      <c r="E346" s="874">
        <v>5.9257579000000005E-2</v>
      </c>
      <c r="F346" s="874"/>
      <c r="M346" s="243"/>
    </row>
    <row r="347" spans="1:13" x14ac:dyDescent="0.2">
      <c r="A347" s="842">
        <v>28401</v>
      </c>
      <c r="B347" s="934" t="s">
        <v>926</v>
      </c>
      <c r="C347" s="935">
        <f>+'[15]Input Sheet'!Q517</f>
        <v>0</v>
      </c>
      <c r="D347" s="852"/>
      <c r="E347" s="874">
        <v>0</v>
      </c>
      <c r="F347" s="874"/>
      <c r="M347" s="243"/>
    </row>
    <row r="348" spans="1:13" x14ac:dyDescent="0.2">
      <c r="A348" s="842">
        <v>28402</v>
      </c>
      <c r="B348" s="934" t="s">
        <v>1024</v>
      </c>
      <c r="C348" s="935">
        <f>+'[15]Input Sheet'!Q518</f>
        <v>0</v>
      </c>
      <c r="D348" s="852"/>
      <c r="E348" s="874">
        <v>0</v>
      </c>
      <c r="F348" s="874"/>
      <c r="M348" s="243"/>
    </row>
    <row r="349" spans="1:13" x14ac:dyDescent="0.2">
      <c r="A349" s="842">
        <v>28403</v>
      </c>
      <c r="B349" s="856" t="s">
        <v>1025</v>
      </c>
      <c r="C349" s="935">
        <f>+'[15]Input Sheet'!Q519</f>
        <v>0</v>
      </c>
      <c r="D349" s="852"/>
      <c r="E349" s="874">
        <v>0</v>
      </c>
      <c r="F349" s="874"/>
      <c r="M349" s="243"/>
    </row>
    <row r="350" spans="1:13" x14ac:dyDescent="0.2">
      <c r="A350" s="842">
        <v>28404</v>
      </c>
      <c r="B350" s="856" t="s">
        <v>1026</v>
      </c>
      <c r="C350" s="935">
        <f>+'[15]Input Sheet'!Q520</f>
        <v>0</v>
      </c>
      <c r="D350" s="852"/>
      <c r="E350" s="874">
        <v>0</v>
      </c>
      <c r="F350" s="874"/>
      <c r="M350" s="243"/>
    </row>
    <row r="351" spans="1:13" x14ac:dyDescent="0.2">
      <c r="A351" s="842"/>
      <c r="B351" s="934"/>
      <c r="C351" s="935"/>
      <c r="D351" s="852"/>
      <c r="E351" s="975"/>
      <c r="F351" s="874"/>
      <c r="M351" s="243"/>
    </row>
    <row r="352" spans="1:13" x14ac:dyDescent="0.2">
      <c r="A352" s="842">
        <v>28850</v>
      </c>
      <c r="B352" s="934" t="s">
        <v>1027</v>
      </c>
      <c r="C352" s="935">
        <f>+'[15]Input Sheet'!Q528</f>
        <v>5.2490056039999997</v>
      </c>
      <c r="D352" s="852"/>
      <c r="E352" s="874">
        <v>3.0832314859999999</v>
      </c>
      <c r="F352" s="874"/>
      <c r="M352" s="243"/>
    </row>
    <row r="353" spans="1:13" x14ac:dyDescent="0.2">
      <c r="A353" s="842"/>
      <c r="B353" s="850" t="s">
        <v>7</v>
      </c>
      <c r="C353" s="891">
        <f>SUM(C346:C352)</f>
        <v>5.2565079959999998</v>
      </c>
      <c r="D353" s="852">
        <f>SUM(C346:C352)</f>
        <v>5.2565079959999998</v>
      </c>
      <c r="E353" s="891">
        <f>SUM(E346:E352)</f>
        <v>3.1424890649999999</v>
      </c>
      <c r="F353" s="938">
        <f>SUM(E346:E352)</f>
        <v>3.1424890649999999</v>
      </c>
      <c r="M353" s="243"/>
    </row>
    <row r="354" spans="1:13" x14ac:dyDescent="0.2">
      <c r="A354" s="842"/>
      <c r="B354" s="818"/>
      <c r="C354" s="852"/>
      <c r="D354" s="852"/>
      <c r="E354" s="874"/>
      <c r="F354" s="874"/>
      <c r="M354" s="243"/>
    </row>
    <row r="355" spans="1:13" x14ac:dyDescent="0.2">
      <c r="A355" s="842">
        <v>28892</v>
      </c>
      <c r="B355" s="934" t="s">
        <v>1028</v>
      </c>
      <c r="C355" s="935"/>
      <c r="D355" s="852">
        <f>'[15]Input Sheet'!Q547</f>
        <v>0</v>
      </c>
      <c r="E355" s="874"/>
      <c r="F355" s="874">
        <v>0</v>
      </c>
      <c r="M355" s="243"/>
    </row>
    <row r="356" spans="1:13" x14ac:dyDescent="0.2">
      <c r="A356" s="842"/>
      <c r="B356" s="934"/>
      <c r="C356" s="935"/>
      <c r="D356" s="852"/>
      <c r="E356" s="874"/>
      <c r="F356" s="874"/>
      <c r="G356" s="243"/>
      <c r="H356" s="243"/>
      <c r="I356" s="243"/>
      <c r="J356" s="243"/>
      <c r="K356" s="243"/>
      <c r="L356" s="243"/>
      <c r="M356" s="243"/>
    </row>
    <row r="357" spans="1:13" x14ac:dyDescent="0.2">
      <c r="A357" s="842"/>
      <c r="B357" s="936" t="s">
        <v>1029</v>
      </c>
      <c r="C357" s="937"/>
      <c r="D357" s="852"/>
      <c r="E357" s="874"/>
      <c r="F357" s="874"/>
      <c r="G357" s="243"/>
      <c r="H357" s="243"/>
      <c r="I357" s="243"/>
      <c r="J357" s="243"/>
      <c r="K357" s="243"/>
      <c r="L357" s="243"/>
      <c r="M357" s="243"/>
    </row>
    <row r="358" spans="1:13" x14ac:dyDescent="0.2">
      <c r="A358" s="842"/>
      <c r="B358" s="943"/>
      <c r="C358" s="976"/>
      <c r="D358" s="852"/>
      <c r="E358" s="874"/>
      <c r="F358" s="874"/>
      <c r="G358" s="243"/>
      <c r="H358" s="243"/>
      <c r="I358" s="243"/>
      <c r="J358" s="243"/>
      <c r="K358" s="243"/>
      <c r="L358" s="243"/>
      <c r="M358" s="243"/>
    </row>
    <row r="359" spans="1:13" x14ac:dyDescent="0.2">
      <c r="A359" s="842"/>
      <c r="B359" s="818"/>
      <c r="C359" s="852"/>
      <c r="D359" s="852"/>
      <c r="E359" s="852"/>
      <c r="F359" s="938"/>
      <c r="G359" s="243"/>
      <c r="H359" s="243"/>
      <c r="I359" s="243"/>
      <c r="J359" s="243"/>
      <c r="K359" s="243"/>
      <c r="L359" s="243"/>
      <c r="M359" s="243"/>
    </row>
    <row r="360" spans="1:13" x14ac:dyDescent="0.2">
      <c r="A360" s="842">
        <v>28890</v>
      </c>
      <c r="B360" s="934" t="s">
        <v>610</v>
      </c>
      <c r="C360" s="852"/>
      <c r="D360" s="852">
        <f>+'[15]Input Sheet'!Q545</f>
        <v>0.88386330000000002</v>
      </c>
      <c r="E360" s="874"/>
      <c r="F360" s="874">
        <v>2.940679668</v>
      </c>
      <c r="G360" s="243"/>
      <c r="H360" s="243"/>
      <c r="I360" s="243"/>
      <c r="J360" s="243"/>
      <c r="K360" s="243"/>
      <c r="L360" s="243"/>
      <c r="M360" s="243"/>
    </row>
    <row r="361" spans="1:13" x14ac:dyDescent="0.2">
      <c r="A361" s="842">
        <v>99105</v>
      </c>
      <c r="B361" s="909" t="s">
        <v>611</v>
      </c>
      <c r="C361" s="852">
        <f>'[15]Input Sheet'!Q1379</f>
        <v>236.77780924099997</v>
      </c>
      <c r="D361" s="852"/>
      <c r="E361" s="874">
        <v>110.951158273</v>
      </c>
      <c r="F361" s="874"/>
      <c r="G361" s="243"/>
      <c r="H361" s="243"/>
      <c r="I361" s="243"/>
      <c r="J361" s="243"/>
      <c r="K361" s="243"/>
      <c r="L361" s="243"/>
      <c r="M361" s="243"/>
    </row>
    <row r="362" spans="1:13" ht="25.5" x14ac:dyDescent="0.2">
      <c r="A362" s="842">
        <v>99200</v>
      </c>
      <c r="B362" s="939" t="s">
        <v>1030</v>
      </c>
      <c r="C362" s="896">
        <f>+'[15]Input Sheet'!Q1392</f>
        <v>0.95555300500000007</v>
      </c>
      <c r="D362" s="900">
        <f>SUM(C361:C362)</f>
        <v>237.73336224599998</v>
      </c>
      <c r="E362" s="874">
        <v>0.84401474399999998</v>
      </c>
      <c r="F362" s="874">
        <f>SUM(E361:E362)</f>
        <v>111.79517301700001</v>
      </c>
      <c r="M362" s="243"/>
    </row>
    <row r="363" spans="1:13" x14ac:dyDescent="0.2">
      <c r="A363" s="842"/>
      <c r="B363" s="909"/>
      <c r="C363" s="917"/>
      <c r="D363" s="852"/>
      <c r="E363" s="874"/>
      <c r="F363" s="874"/>
      <c r="G363" s="243"/>
      <c r="H363" s="243"/>
      <c r="I363" s="243"/>
      <c r="J363" s="243"/>
      <c r="K363" s="243"/>
      <c r="L363" s="243"/>
      <c r="M363" s="243"/>
    </row>
    <row r="364" spans="1:13" ht="28.5" x14ac:dyDescent="0.2">
      <c r="A364" s="842"/>
      <c r="B364" s="977" t="s">
        <v>1031</v>
      </c>
      <c r="C364" s="917"/>
      <c r="D364" s="852"/>
      <c r="E364" s="874"/>
      <c r="F364" s="874"/>
      <c r="G364" s="243"/>
      <c r="H364" s="243"/>
      <c r="I364" s="243"/>
      <c r="J364" s="243"/>
      <c r="K364" s="243"/>
      <c r="L364" s="243"/>
      <c r="M364" s="243"/>
    </row>
    <row r="365" spans="1:13" x14ac:dyDescent="0.2">
      <c r="A365" s="842">
        <v>99108</v>
      </c>
      <c r="B365" s="909" t="s">
        <v>1032</v>
      </c>
      <c r="C365" s="917">
        <f>+(G1499+G1505)/10^7</f>
        <v>3.1548302000000001</v>
      </c>
      <c r="D365" s="852"/>
      <c r="E365" s="874">
        <v>2.670166</v>
      </c>
      <c r="F365" s="874"/>
      <c r="G365" s="243"/>
      <c r="H365" s="243"/>
      <c r="I365" s="243"/>
      <c r="J365" s="243"/>
      <c r="K365" s="243"/>
      <c r="L365" s="243"/>
      <c r="M365" s="243"/>
    </row>
    <row r="366" spans="1:13" x14ac:dyDescent="0.2">
      <c r="A366" s="842">
        <v>99108</v>
      </c>
      <c r="B366" s="909" t="s">
        <v>1033</v>
      </c>
      <c r="C366" s="917">
        <f>+G1517/10^7</f>
        <v>14.2</v>
      </c>
      <c r="D366" s="852"/>
      <c r="E366" s="874">
        <v>12.8</v>
      </c>
      <c r="F366" s="874"/>
      <c r="G366" s="243"/>
      <c r="H366" s="243"/>
      <c r="I366" s="243"/>
      <c r="J366" s="243"/>
      <c r="K366" s="243"/>
      <c r="L366" s="243"/>
      <c r="M366" s="243"/>
    </row>
    <row r="367" spans="1:13" x14ac:dyDescent="0.2">
      <c r="A367" s="842">
        <v>99108</v>
      </c>
      <c r="B367" s="934" t="s">
        <v>1034</v>
      </c>
      <c r="C367" s="917">
        <f>+'[15]Input Sheet'!Q1382-SUM(C365:C366)</f>
        <v>196.99079658399998</v>
      </c>
      <c r="D367" s="852"/>
      <c r="E367" s="874">
        <v>136.39828947300001</v>
      </c>
      <c r="F367" s="874"/>
      <c r="G367" s="243"/>
      <c r="H367" s="243"/>
      <c r="I367" s="243"/>
      <c r="J367" s="243"/>
      <c r="K367" s="243"/>
      <c r="L367" s="243"/>
      <c r="M367" s="243"/>
    </row>
    <row r="368" spans="1:13" x14ac:dyDescent="0.2">
      <c r="A368" s="842"/>
      <c r="B368" s="909"/>
      <c r="C368" s="978">
        <f>SUM(C365:C367)</f>
        <v>214.34562678399999</v>
      </c>
      <c r="D368" s="888">
        <f>SUM(C365:C367)</f>
        <v>214.34562678399999</v>
      </c>
      <c r="E368" s="978">
        <f>SUM(E365:E367)</f>
        <v>151.86845547300001</v>
      </c>
      <c r="F368" s="979">
        <f>+E368</f>
        <v>151.86845547300001</v>
      </c>
      <c r="G368" s="243"/>
      <c r="H368" s="243"/>
      <c r="I368" s="243"/>
      <c r="J368" s="243"/>
      <c r="K368" s="243"/>
      <c r="L368" s="243"/>
      <c r="M368" s="243"/>
    </row>
    <row r="369" spans="1:13" x14ac:dyDescent="0.2">
      <c r="A369" s="842">
        <v>22657</v>
      </c>
      <c r="B369" s="909" t="s">
        <v>613</v>
      </c>
      <c r="C369" s="917"/>
      <c r="D369" s="852">
        <f>'[15]Input Sheet'!Q134</f>
        <v>9.9999999999999995E-8</v>
      </c>
      <c r="E369" s="874"/>
      <c r="F369" s="874">
        <v>1.7416499999999999</v>
      </c>
      <c r="G369" s="243"/>
      <c r="H369" s="243"/>
      <c r="I369" s="243"/>
      <c r="J369" s="243"/>
      <c r="K369" s="243"/>
      <c r="L369" s="243"/>
      <c r="M369" s="243"/>
    </row>
    <row r="370" spans="1:13" x14ac:dyDescent="0.2">
      <c r="A370" s="842"/>
      <c r="B370" s="909" t="s">
        <v>614</v>
      </c>
      <c r="C370" s="917"/>
      <c r="D370" s="852"/>
      <c r="E370" s="874"/>
      <c r="F370" s="874"/>
      <c r="G370" s="243"/>
      <c r="H370" s="243"/>
      <c r="I370" s="243"/>
      <c r="J370" s="243"/>
      <c r="K370" s="243"/>
      <c r="L370" s="243"/>
      <c r="M370" s="243"/>
    </row>
    <row r="371" spans="1:13" x14ac:dyDescent="0.2">
      <c r="A371" s="842"/>
      <c r="B371" s="934"/>
      <c r="C371" s="852"/>
      <c r="D371" s="852"/>
      <c r="E371" s="874"/>
      <c r="F371" s="874"/>
      <c r="G371" s="476"/>
      <c r="H371" s="243"/>
      <c r="I371" s="243"/>
      <c r="J371" s="243"/>
      <c r="K371" s="243"/>
      <c r="L371" s="243"/>
      <c r="M371" s="243"/>
    </row>
    <row r="372" spans="1:13" x14ac:dyDescent="0.2">
      <c r="A372" s="842">
        <v>28809</v>
      </c>
      <c r="B372" s="934" t="s">
        <v>1035</v>
      </c>
      <c r="C372" s="935">
        <f>+'[15]Input Sheet'!Q524</f>
        <v>0</v>
      </c>
      <c r="D372" s="852"/>
      <c r="E372" s="874">
        <v>0</v>
      </c>
      <c r="F372" s="874"/>
      <c r="G372" s="243"/>
      <c r="H372" s="243"/>
      <c r="I372" s="243"/>
      <c r="J372" s="243"/>
      <c r="K372" s="243"/>
      <c r="L372" s="243"/>
      <c r="M372" s="243"/>
    </row>
    <row r="373" spans="1:13" x14ac:dyDescent="0.2">
      <c r="A373" s="842">
        <v>99120</v>
      </c>
      <c r="B373" s="934" t="s">
        <v>929</v>
      </c>
      <c r="C373" s="935">
        <f>+'[15]Input Sheet'!Q1391</f>
        <v>0.62965400000000005</v>
      </c>
      <c r="D373" s="852"/>
      <c r="E373" s="874">
        <v>1.7094788999999999</v>
      </c>
      <c r="F373" s="874"/>
      <c r="M373" s="243"/>
    </row>
    <row r="374" spans="1:13" x14ac:dyDescent="0.2">
      <c r="A374" s="842">
        <v>28801</v>
      </c>
      <c r="B374" s="934" t="s">
        <v>927</v>
      </c>
      <c r="C374" s="935">
        <f>+'[15]Input Sheet'!Q521</f>
        <v>56.289302399999997</v>
      </c>
      <c r="D374" s="852"/>
      <c r="E374" s="975">
        <v>25.598738600000001</v>
      </c>
      <c r="F374" s="874"/>
      <c r="M374" s="243"/>
    </row>
    <row r="375" spans="1:13" ht="25.5" x14ac:dyDescent="0.2">
      <c r="A375" s="842">
        <v>28811</v>
      </c>
      <c r="B375" s="980" t="s">
        <v>930</v>
      </c>
      <c r="C375" s="981">
        <f>+'[15]Input Sheet'!Q525</f>
        <v>0</v>
      </c>
      <c r="D375" s="900"/>
      <c r="E375" s="874">
        <v>0</v>
      </c>
      <c r="F375" s="874"/>
      <c r="M375" s="243"/>
    </row>
    <row r="376" spans="1:13" x14ac:dyDescent="0.2">
      <c r="A376" s="842"/>
      <c r="B376" s="980"/>
      <c r="C376" s="981"/>
      <c r="D376" s="852">
        <f>SUM(C371:C375)</f>
        <v>56.918956399999999</v>
      </c>
      <c r="E376" s="874"/>
      <c r="F376" s="938">
        <f>SUM(E371:E375)</f>
        <v>27.308217500000001</v>
      </c>
      <c r="M376" s="243"/>
    </row>
    <row r="377" spans="1:13" ht="13.5" thickBot="1" x14ac:dyDescent="0.25">
      <c r="A377" s="842"/>
      <c r="B377" s="948" t="s">
        <v>7</v>
      </c>
      <c r="C377" s="949"/>
      <c r="D377" s="870">
        <f>+SUM(D353:D376)</f>
        <v>515.13831682600005</v>
      </c>
      <c r="E377" s="874"/>
      <c r="F377" s="894">
        <f>+SUM(F353:F376)</f>
        <v>298.79666472300005</v>
      </c>
      <c r="M377" s="243"/>
    </row>
    <row r="378" spans="1:13" ht="13.5" thickTop="1" x14ac:dyDescent="0.2">
      <c r="A378" s="842"/>
      <c r="B378" s="939"/>
      <c r="C378" s="896"/>
      <c r="D378" s="852"/>
      <c r="E378" s="874"/>
      <c r="F378" s="874"/>
      <c r="M378" s="243"/>
    </row>
    <row r="379" spans="1:13" x14ac:dyDescent="0.2">
      <c r="A379" s="849" t="s">
        <v>360</v>
      </c>
      <c r="B379" s="850" t="s">
        <v>615</v>
      </c>
      <c r="C379" s="861"/>
      <c r="D379" s="861"/>
      <c r="E379" s="889"/>
      <c r="F379" s="889"/>
      <c r="G379" s="862"/>
      <c r="H379" s="862"/>
      <c r="I379" s="862"/>
      <c r="J379" s="862"/>
      <c r="K379" s="862"/>
      <c r="L379" s="862"/>
      <c r="M379" s="243"/>
    </row>
    <row r="380" spans="1:13" x14ac:dyDescent="0.2">
      <c r="A380" s="842">
        <v>28820</v>
      </c>
      <c r="B380" s="934" t="s">
        <v>616</v>
      </c>
      <c r="C380" s="935"/>
      <c r="D380" s="852">
        <f>'[15]Input Sheet'!Q526</f>
        <v>37.949311001999995</v>
      </c>
      <c r="E380" s="874"/>
      <c r="F380" s="874">
        <v>35.312575172000003</v>
      </c>
      <c r="M380" s="243"/>
    </row>
    <row r="381" spans="1:13" x14ac:dyDescent="0.2">
      <c r="A381" s="842">
        <v>28901</v>
      </c>
      <c r="B381" s="909" t="s">
        <v>1036</v>
      </c>
      <c r="C381" s="917"/>
      <c r="D381" s="852">
        <f>'[15]Input Sheet'!Q548</f>
        <v>0</v>
      </c>
      <c r="E381" s="874"/>
      <c r="F381" s="874">
        <v>0</v>
      </c>
      <c r="M381" s="243"/>
    </row>
    <row r="382" spans="1:13" ht="15" x14ac:dyDescent="0.2">
      <c r="A382" s="842">
        <v>28804</v>
      </c>
      <c r="B382" s="865" t="s">
        <v>1037</v>
      </c>
      <c r="C382" s="906"/>
      <c r="D382" s="852">
        <f>+'[15]Input Sheet'!Q523</f>
        <v>26.153931013999998</v>
      </c>
      <c r="E382" s="874"/>
      <c r="F382" s="874">
        <v>27.608270213999997</v>
      </c>
      <c r="G382" s="243"/>
      <c r="H382" s="243"/>
      <c r="I382" s="243"/>
      <c r="J382" s="243"/>
      <c r="K382" s="243"/>
      <c r="L382" s="243"/>
      <c r="M382" s="243"/>
    </row>
    <row r="383" spans="1:13" x14ac:dyDescent="0.2">
      <c r="A383" s="842"/>
      <c r="B383" s="909"/>
      <c r="C383" s="917"/>
      <c r="D383" s="852"/>
      <c r="E383" s="874"/>
      <c r="F383" s="874"/>
      <c r="M383" s="243"/>
    </row>
    <row r="384" spans="1:13" x14ac:dyDescent="0.2">
      <c r="A384" s="842">
        <v>99101</v>
      </c>
      <c r="B384" s="982" t="s">
        <v>1038</v>
      </c>
      <c r="C384" s="983"/>
      <c r="D384" s="852">
        <f>+H1434</f>
        <v>294.62884841399995</v>
      </c>
      <c r="E384" s="874"/>
      <c r="F384" s="874">
        <v>408.85345701</v>
      </c>
      <c r="M384" s="243"/>
    </row>
    <row r="385" spans="1:13" x14ac:dyDescent="0.2">
      <c r="A385" s="842">
        <v>99101</v>
      </c>
      <c r="B385" s="984" t="s">
        <v>933</v>
      </c>
      <c r="C385" s="964">
        <f>++H1440</f>
        <v>1.6928646179999873</v>
      </c>
      <c r="D385" s="852"/>
      <c r="E385" s="874">
        <v>1.6928646179999873</v>
      </c>
      <c r="F385" s="874"/>
      <c r="M385" s="243"/>
    </row>
    <row r="386" spans="1:13" x14ac:dyDescent="0.2">
      <c r="A386" s="842">
        <v>99103</v>
      </c>
      <c r="B386" s="984" t="s">
        <v>1039</v>
      </c>
      <c r="C386" s="964">
        <f>++'[15]Input Sheet'!L1378</f>
        <v>384.18284791399998</v>
      </c>
      <c r="D386" s="852"/>
      <c r="E386" s="874">
        <v>418.377960707</v>
      </c>
      <c r="F386" s="874"/>
      <c r="M386" s="243"/>
    </row>
    <row r="387" spans="1:13" x14ac:dyDescent="0.2">
      <c r="A387" s="842">
        <v>99109</v>
      </c>
      <c r="B387" s="985" t="s">
        <v>931</v>
      </c>
      <c r="C387" s="964">
        <f>+'[15]Input Sheet'!Q1383</f>
        <v>88.185184325999998</v>
      </c>
      <c r="D387" s="852"/>
      <c r="E387" s="874">
        <v>41.295333849000002</v>
      </c>
      <c r="F387" s="874"/>
      <c r="M387" s="243"/>
    </row>
    <row r="388" spans="1:13" x14ac:dyDescent="0.2">
      <c r="A388" s="842"/>
      <c r="B388" s="984"/>
      <c r="C388" s="986">
        <f>+SUM(C385:C387)</f>
        <v>474.06089685799998</v>
      </c>
      <c r="D388" s="888">
        <f>+SUM(C385:C387)</f>
        <v>474.06089685799998</v>
      </c>
      <c r="E388" s="986">
        <f>+SUM(E385:E387)</f>
        <v>461.36615917400002</v>
      </c>
      <c r="F388" s="979">
        <f>+SUM(E385:E387)</f>
        <v>461.36615917400002</v>
      </c>
      <c r="M388" s="243"/>
    </row>
    <row r="389" spans="1:13" ht="25.5" x14ac:dyDescent="0.2">
      <c r="A389" s="842">
        <v>27900</v>
      </c>
      <c r="B389" s="961" t="s">
        <v>572</v>
      </c>
      <c r="C389" s="962"/>
      <c r="D389" s="962">
        <f>+I1440</f>
        <v>0</v>
      </c>
      <c r="E389" s="874"/>
      <c r="F389" s="874">
        <v>0</v>
      </c>
      <c r="M389" s="243"/>
    </row>
    <row r="390" spans="1:13" x14ac:dyDescent="0.2">
      <c r="A390" s="842"/>
      <c r="B390" s="936"/>
      <c r="C390" s="937"/>
      <c r="D390" s="852">
        <f>SUM(D385:D389)</f>
        <v>474.06089685799998</v>
      </c>
      <c r="E390" s="874"/>
      <c r="F390" s="938">
        <f>SUM(F385:F389)</f>
        <v>461.36615917400002</v>
      </c>
    </row>
    <row r="391" spans="1:13" ht="13.5" thickBot="1" x14ac:dyDescent="0.25">
      <c r="A391" s="842"/>
      <c r="B391" s="948" t="s">
        <v>7</v>
      </c>
      <c r="C391" s="949"/>
      <c r="D391" s="870">
        <f>D390+SUM(D380:D384)</f>
        <v>832.79298728799995</v>
      </c>
      <c r="E391" s="874"/>
      <c r="F391" s="894">
        <f>F390+SUM(F380:F384)</f>
        <v>933.14046157000007</v>
      </c>
    </row>
    <row r="392" spans="1:13" ht="13.5" thickTop="1" x14ac:dyDescent="0.2">
      <c r="A392" s="842"/>
      <c r="B392" s="987"/>
      <c r="C392" s="852"/>
      <c r="D392" s="852"/>
      <c r="E392" s="874"/>
      <c r="F392" s="874"/>
    </row>
    <row r="393" spans="1:13" x14ac:dyDescent="0.2">
      <c r="A393" s="849" t="s">
        <v>361</v>
      </c>
      <c r="B393" s="936" t="s">
        <v>1040</v>
      </c>
      <c r="C393" s="937"/>
      <c r="D393" s="861"/>
      <c r="E393" s="889"/>
      <c r="F393" s="889"/>
      <c r="G393" s="862"/>
      <c r="H393" s="862"/>
      <c r="I393" s="862"/>
      <c r="J393" s="862"/>
      <c r="K393" s="862"/>
      <c r="L393" s="862"/>
      <c r="M393" s="862"/>
    </row>
    <row r="394" spans="1:13" x14ac:dyDescent="0.2">
      <c r="A394" s="956">
        <v>54510</v>
      </c>
      <c r="B394" s="914" t="s">
        <v>1040</v>
      </c>
      <c r="C394" s="915"/>
      <c r="D394" s="915">
        <f>'[15]Input Sheet'!R1060-D405</f>
        <v>26304.186329426</v>
      </c>
      <c r="E394" s="874"/>
      <c r="F394" s="988">
        <v>26009.637229426</v>
      </c>
      <c r="G394" s="836">
        <f>D394-F394</f>
        <v>294.54910000000018</v>
      </c>
    </row>
    <row r="395" spans="1:13" x14ac:dyDescent="0.2">
      <c r="A395" s="956"/>
      <c r="B395" s="818"/>
      <c r="C395" s="852"/>
      <c r="D395" s="852"/>
      <c r="E395" s="874"/>
      <c r="F395" s="874"/>
    </row>
    <row r="396" spans="1:13" x14ac:dyDescent="0.2">
      <c r="A396" s="842"/>
      <c r="B396" s="936"/>
      <c r="C396" s="937"/>
      <c r="D396" s="852"/>
      <c r="E396" s="874"/>
      <c r="F396" s="874"/>
    </row>
    <row r="397" spans="1:13" x14ac:dyDescent="0.2">
      <c r="A397" s="849" t="s">
        <v>362</v>
      </c>
      <c r="B397" s="936" t="s">
        <v>1041</v>
      </c>
      <c r="C397" s="937"/>
      <c r="D397" s="861"/>
      <c r="E397" s="889"/>
      <c r="F397" s="889"/>
      <c r="G397" s="862"/>
      <c r="H397" s="862"/>
      <c r="I397" s="862"/>
      <c r="J397" s="862"/>
      <c r="K397" s="862"/>
      <c r="L397" s="862">
        <f>-4039613485.48581/10^7</f>
        <v>-403.96134854858099</v>
      </c>
      <c r="M397" s="862"/>
    </row>
    <row r="398" spans="1:13" x14ac:dyDescent="0.2">
      <c r="A398" s="842"/>
      <c r="B398" s="934" t="s">
        <v>1041</v>
      </c>
      <c r="C398" s="935"/>
      <c r="D398" s="852"/>
      <c r="E398" s="874"/>
      <c r="F398" s="874"/>
      <c r="L398" s="836">
        <f>+L397-H404</f>
        <v>-5.8912199500980478E-2</v>
      </c>
    </row>
    <row r="399" spans="1:13" x14ac:dyDescent="0.2">
      <c r="A399" s="842">
        <v>56100</v>
      </c>
      <c r="B399" s="934" t="s">
        <v>1042</v>
      </c>
      <c r="C399" s="935">
        <f>+'[15]Input Sheet'!R1067</f>
        <v>0</v>
      </c>
      <c r="D399" s="852">
        <f>+C399</f>
        <v>0</v>
      </c>
      <c r="E399" s="874">
        <v>0</v>
      </c>
      <c r="F399" s="874">
        <v>0</v>
      </c>
      <c r="H399" s="493"/>
    </row>
    <row r="400" spans="1:13" x14ac:dyDescent="0.2">
      <c r="A400" s="842">
        <v>56200</v>
      </c>
      <c r="B400" s="934" t="s">
        <v>1043</v>
      </c>
      <c r="C400" s="935">
        <f>+'[15]Input Sheet'!R1068</f>
        <v>0</v>
      </c>
      <c r="D400" s="852">
        <f>+C400</f>
        <v>0</v>
      </c>
      <c r="E400" s="874">
        <v>0</v>
      </c>
      <c r="F400" s="874">
        <v>0</v>
      </c>
    </row>
    <row r="401" spans="1:13" x14ac:dyDescent="0.2">
      <c r="A401" s="842"/>
      <c r="B401" s="934"/>
      <c r="C401" s="989">
        <f>SUM(C399:C400)</f>
        <v>0</v>
      </c>
      <c r="D401" s="888">
        <f>+SUM(C399:C400)</f>
        <v>0</v>
      </c>
      <c r="E401" s="989">
        <f>SUM(E399:E400)</f>
        <v>0</v>
      </c>
      <c r="F401" s="979">
        <f>+SUM(E399:E400)</f>
        <v>0</v>
      </c>
    </row>
    <row r="402" spans="1:13" x14ac:dyDescent="0.2">
      <c r="A402" s="842">
        <v>58210</v>
      </c>
      <c r="B402" s="934" t="s">
        <v>1044</v>
      </c>
      <c r="C402" s="935"/>
      <c r="D402" s="852">
        <f>'[15]Input Sheet'!R1070</f>
        <v>-9299.160701539</v>
      </c>
      <c r="E402" s="874"/>
      <c r="F402" s="874">
        <v>-8488.3401748070009</v>
      </c>
      <c r="H402" s="493"/>
    </row>
    <row r="403" spans="1:13" x14ac:dyDescent="0.2">
      <c r="A403" s="842">
        <v>58211</v>
      </c>
      <c r="B403" s="934" t="s">
        <v>1045</v>
      </c>
      <c r="C403" s="935"/>
      <c r="D403" s="852">
        <f>'[15]Input Sheet'!R1071</f>
        <v>-901.67684003299996</v>
      </c>
      <c r="E403" s="874"/>
      <c r="F403" s="990">
        <f>265.272388753+(([15]restated!A29/10^7)-J412)*0</f>
        <v>265.27238875299997</v>
      </c>
      <c r="G403" s="855">
        <f>[15]restated!R64/10^7</f>
        <v>1570.8516650860001</v>
      </c>
      <c r="H403" s="493">
        <f>+F403-D403</f>
        <v>1166.9492287859998</v>
      </c>
      <c r="I403" s="493"/>
    </row>
    <row r="404" spans="1:13" x14ac:dyDescent="0.2">
      <c r="A404" s="842"/>
      <c r="B404" s="934" t="s">
        <v>1046</v>
      </c>
      <c r="C404" s="935"/>
      <c r="D404" s="852">
        <f>+'[15]balance sheet P&amp;L'!D109</f>
        <v>45.017248804008943</v>
      </c>
      <c r="E404" s="874"/>
      <c r="F404" s="874">
        <f>'[15]balance sheet P&amp;L'!E109</f>
        <v>-1977.7718131169186</v>
      </c>
      <c r="H404" s="348">
        <f>-4039024363.4908/10^7</f>
        <v>-403.90243634908001</v>
      </c>
      <c r="I404" s="836">
        <v>-810.82052673700082</v>
      </c>
      <c r="J404" s="618">
        <f>+F404-I404</f>
        <v>-1166.9512863799177</v>
      </c>
    </row>
    <row r="405" spans="1:13" ht="25.5" x14ac:dyDescent="0.2">
      <c r="A405" s="842"/>
      <c r="B405" s="939" t="s">
        <v>1047</v>
      </c>
      <c r="C405" s="896"/>
      <c r="D405" s="991"/>
      <c r="E405" s="874"/>
      <c r="F405" s="874"/>
    </row>
    <row r="406" spans="1:13" ht="13.5" thickBot="1" x14ac:dyDescent="0.25">
      <c r="A406" s="842"/>
      <c r="B406" s="948" t="s">
        <v>437</v>
      </c>
      <c r="C406" s="949"/>
      <c r="D406" s="916">
        <f>SUM(D399:D405)</f>
        <v>-10155.82029276799</v>
      </c>
      <c r="E406" s="874"/>
      <c r="F406" s="970">
        <f>SUM(F399:F405)</f>
        <v>-10200.83959917092</v>
      </c>
      <c r="H406" s="836">
        <f>+G403-H403</f>
        <v>403.90243630000032</v>
      </c>
      <c r="M406" s="862"/>
    </row>
    <row r="407" spans="1:13" ht="13.5" thickTop="1" x14ac:dyDescent="0.2">
      <c r="A407" s="956"/>
      <c r="B407" s="818"/>
      <c r="C407" s="852"/>
      <c r="D407" s="852"/>
      <c r="E407" s="874"/>
      <c r="F407" s="874"/>
      <c r="J407" s="864">
        <f>+'[15]Profit &amp; Loss Grouping'!I184</f>
        <v>11.16</v>
      </c>
    </row>
    <row r="408" spans="1:13" x14ac:dyDescent="0.2">
      <c r="A408" s="992" t="s">
        <v>363</v>
      </c>
      <c r="B408" s="850" t="s">
        <v>1048</v>
      </c>
      <c r="C408" s="861"/>
      <c r="D408" s="861"/>
      <c r="E408" s="889"/>
      <c r="F408" s="889"/>
      <c r="G408" s="862"/>
      <c r="H408" s="862"/>
      <c r="I408" s="862"/>
      <c r="J408" s="993">
        <f>+'[15]Profit &amp; Loss Grouping'!I271</f>
        <v>4.2</v>
      </c>
      <c r="M408" s="862"/>
    </row>
    <row r="409" spans="1:13" x14ac:dyDescent="0.2">
      <c r="A409" s="956"/>
      <c r="B409" s="936" t="s">
        <v>629</v>
      </c>
      <c r="C409" s="937"/>
      <c r="D409" s="852"/>
      <c r="E409" s="874"/>
      <c r="F409" s="874"/>
      <c r="H409" s="836">
        <v>344.33510698707869</v>
      </c>
      <c r="J409" s="864">
        <f>+'[15]Profit &amp; Loss Grouping'!I336</f>
        <v>1.29</v>
      </c>
    </row>
    <row r="410" spans="1:13" x14ac:dyDescent="0.2">
      <c r="A410" s="956"/>
      <c r="B410" s="818"/>
      <c r="C410" s="852"/>
      <c r="D410" s="852"/>
      <c r="E410" s="874"/>
      <c r="F410" s="874"/>
      <c r="J410" s="864">
        <f>+'[15]Profit &amp; Loss Grouping'!I198</f>
        <v>19.41</v>
      </c>
    </row>
    <row r="411" spans="1:13" x14ac:dyDescent="0.2">
      <c r="A411" s="956"/>
      <c r="B411" s="944" t="s">
        <v>630</v>
      </c>
      <c r="C411" s="945"/>
      <c r="D411" s="852"/>
      <c r="E411" s="874"/>
      <c r="F411" s="874"/>
      <c r="J411" s="864">
        <f>+'[15]Profit &amp; Loss Grouping'!I203</f>
        <v>3.63</v>
      </c>
    </row>
    <row r="412" spans="1:13" x14ac:dyDescent="0.2">
      <c r="A412" s="956"/>
      <c r="B412" s="944" t="s">
        <v>631</v>
      </c>
      <c r="C412" s="945"/>
      <c r="D412" s="852"/>
      <c r="E412" s="874"/>
      <c r="F412" s="874"/>
      <c r="J412" s="836">
        <f>SUM(J407:J411)</f>
        <v>39.690000000000005</v>
      </c>
    </row>
    <row r="413" spans="1:13" x14ac:dyDescent="0.2">
      <c r="A413" s="956"/>
      <c r="B413" s="818" t="s">
        <v>632</v>
      </c>
      <c r="C413" s="852"/>
      <c r="D413" s="852"/>
      <c r="E413" s="874"/>
      <c r="F413" s="874"/>
    </row>
    <row r="414" spans="1:13" x14ac:dyDescent="0.2">
      <c r="A414" s="994"/>
      <c r="B414" s="995" t="s">
        <v>1049</v>
      </c>
      <c r="C414" s="917">
        <f>E1248</f>
        <v>11219.830783500003</v>
      </c>
      <c r="D414" s="852"/>
      <c r="E414" s="917">
        <v>9343.7545258000009</v>
      </c>
      <c r="F414" s="874"/>
      <c r="G414" s="836">
        <v>9343.7545258000009</v>
      </c>
    </row>
    <row r="415" spans="1:13" x14ac:dyDescent="0.2">
      <c r="A415" s="994"/>
      <c r="B415" s="996" t="s">
        <v>1050</v>
      </c>
      <c r="C415" s="997">
        <f>'[15]Rep terms LT '!P3</f>
        <v>1082.0128803</v>
      </c>
      <c r="D415" s="852">
        <f>C414-C415</f>
        <v>10137.817903200003</v>
      </c>
      <c r="E415" s="998">
        <v>1091.7579715000002</v>
      </c>
      <c r="F415" s="874">
        <f>E414-E415</f>
        <v>8251.9965542999998</v>
      </c>
    </row>
    <row r="416" spans="1:13" x14ac:dyDescent="0.2">
      <c r="A416" s="956"/>
      <c r="B416" s="995" t="s">
        <v>1051</v>
      </c>
      <c r="C416" s="917">
        <f>E1424</f>
        <v>13808.666276658005</v>
      </c>
      <c r="D416" s="852"/>
      <c r="E416" s="874">
        <v>16304.808480099991</v>
      </c>
      <c r="F416" s="874"/>
      <c r="G416" s="836">
        <v>16304.808480099991</v>
      </c>
    </row>
    <row r="417" spans="1:13" x14ac:dyDescent="0.2">
      <c r="A417" s="956"/>
      <c r="B417" s="996" t="s">
        <v>1050</v>
      </c>
      <c r="C417" s="997">
        <f>'[15]Rep terms LT '!P4</f>
        <v>1615.0095035046011</v>
      </c>
      <c r="D417" s="852">
        <f>C416-C417</f>
        <v>12193.656773153403</v>
      </c>
      <c r="E417" s="874">
        <v>1601.2057378025672</v>
      </c>
      <c r="F417" s="874">
        <f>E416-E417</f>
        <v>14703.602742297424</v>
      </c>
    </row>
    <row r="418" spans="1:13" ht="25.5" x14ac:dyDescent="0.2">
      <c r="A418" s="956">
        <v>53414</v>
      </c>
      <c r="B418" s="996" t="s">
        <v>1052</v>
      </c>
      <c r="C418" s="898">
        <f>'[15]Input Sheet'!R961</f>
        <v>0</v>
      </c>
      <c r="D418" s="852"/>
      <c r="E418" s="874">
        <v>0</v>
      </c>
      <c r="F418" s="874"/>
    </row>
    <row r="419" spans="1:13" x14ac:dyDescent="0.2">
      <c r="A419" s="956"/>
      <c r="B419" s="818"/>
      <c r="C419" s="891"/>
      <c r="D419" s="891">
        <f>SUM(D414:D417)</f>
        <v>22331.474676353406</v>
      </c>
      <c r="E419" s="891"/>
      <c r="F419" s="891">
        <f>SUM(F414:F417)</f>
        <v>22955.599296597422</v>
      </c>
    </row>
    <row r="420" spans="1:13" x14ac:dyDescent="0.2">
      <c r="A420" s="956"/>
      <c r="B420" s="897" t="s">
        <v>635</v>
      </c>
      <c r="C420" s="898"/>
      <c r="D420" s="861"/>
      <c r="E420" s="874"/>
      <c r="F420" s="999"/>
    </row>
    <row r="421" spans="1:13" x14ac:dyDescent="0.2">
      <c r="A421" s="956">
        <v>50003</v>
      </c>
      <c r="B421" s="934" t="s">
        <v>1053</v>
      </c>
      <c r="C421" s="898">
        <f>'[15]Input Sheet'!R729</f>
        <v>325</v>
      </c>
      <c r="D421" s="861"/>
      <c r="E421" s="874"/>
      <c r="F421" s="999"/>
    </row>
    <row r="422" spans="1:13" x14ac:dyDescent="0.2">
      <c r="A422" s="956">
        <v>50007</v>
      </c>
      <c r="B422" s="934" t="s">
        <v>1054</v>
      </c>
      <c r="C422" s="898">
        <f>'[15]Input Sheet'!R733</f>
        <v>499.99961539999998</v>
      </c>
      <c r="D422" s="861"/>
      <c r="E422" s="874"/>
      <c r="F422" s="999"/>
    </row>
    <row r="423" spans="1:13" x14ac:dyDescent="0.2">
      <c r="A423" s="956">
        <v>53401</v>
      </c>
      <c r="B423" s="934" t="s">
        <v>1055</v>
      </c>
      <c r="C423" s="935">
        <f>'[15]Input Sheet'!R948</f>
        <v>0</v>
      </c>
      <c r="D423" s="861"/>
      <c r="E423" s="874">
        <v>0</v>
      </c>
      <c r="F423" s="874"/>
    </row>
    <row r="424" spans="1:13" x14ac:dyDescent="0.2">
      <c r="A424" s="956">
        <v>53402</v>
      </c>
      <c r="B424" s="934" t="s">
        <v>1056</v>
      </c>
      <c r="C424" s="935">
        <f>'[15]Input Sheet'!R949</f>
        <v>0</v>
      </c>
      <c r="D424" s="861"/>
      <c r="E424" s="874">
        <v>0</v>
      </c>
      <c r="F424" s="874"/>
      <c r="G424" s="243"/>
      <c r="H424" s="243"/>
      <c r="I424" s="243"/>
      <c r="J424" s="243"/>
      <c r="K424" s="243"/>
      <c r="L424" s="243"/>
      <c r="M424" s="243"/>
    </row>
    <row r="425" spans="1:13" x14ac:dyDescent="0.2">
      <c r="A425" s="842">
        <v>53403</v>
      </c>
      <c r="B425" s="934" t="s">
        <v>1057</v>
      </c>
      <c r="C425" s="935">
        <f>'[15]Input Sheet'!R950</f>
        <v>0</v>
      </c>
      <c r="D425" s="861"/>
      <c r="E425" s="874">
        <v>0</v>
      </c>
      <c r="F425" s="874"/>
      <c r="G425" s="243"/>
      <c r="H425" s="243"/>
      <c r="I425" s="243"/>
      <c r="J425" s="243"/>
      <c r="K425" s="243"/>
      <c r="L425" s="243"/>
      <c r="M425" s="243"/>
    </row>
    <row r="426" spans="1:13" x14ac:dyDescent="0.2">
      <c r="A426" s="842">
        <v>53404</v>
      </c>
      <c r="B426" s="934" t="s">
        <v>1058</v>
      </c>
      <c r="C426" s="935">
        <f>'[15]Input Sheet'!R951</f>
        <v>0</v>
      </c>
      <c r="D426" s="861"/>
      <c r="E426" s="874">
        <v>0</v>
      </c>
      <c r="F426" s="874"/>
      <c r="G426" s="243"/>
      <c r="H426" s="243"/>
      <c r="I426" s="243"/>
      <c r="J426" s="243"/>
      <c r="K426" s="243"/>
      <c r="L426" s="243"/>
      <c r="M426" s="243"/>
    </row>
    <row r="427" spans="1:13" x14ac:dyDescent="0.2">
      <c r="A427" s="842">
        <v>53405</v>
      </c>
      <c r="B427" s="934" t="s">
        <v>1059</v>
      </c>
      <c r="C427" s="935">
        <f>'[15]Input Sheet'!R952</f>
        <v>0</v>
      </c>
      <c r="D427" s="861"/>
      <c r="E427" s="911">
        <v>0</v>
      </c>
      <c r="F427" s="874"/>
      <c r="G427" s="243"/>
      <c r="H427" s="243"/>
      <c r="I427" s="243"/>
      <c r="J427" s="243"/>
      <c r="K427" s="243"/>
      <c r="L427" s="243"/>
      <c r="M427" s="243"/>
    </row>
    <row r="428" spans="1:13" x14ac:dyDescent="0.2">
      <c r="A428" s="842">
        <v>53406</v>
      </c>
      <c r="B428" s="934" t="s">
        <v>1060</v>
      </c>
      <c r="C428" s="935">
        <f>'[15]Input Sheet'!R953</f>
        <v>0</v>
      </c>
      <c r="D428" s="861"/>
      <c r="E428" s="911">
        <v>0</v>
      </c>
      <c r="F428" s="874"/>
      <c r="G428" s="243"/>
      <c r="H428" s="243"/>
      <c r="I428" s="243"/>
      <c r="J428" s="243"/>
      <c r="K428" s="243"/>
      <c r="L428" s="243"/>
      <c r="M428" s="243"/>
    </row>
    <row r="429" spans="1:13" x14ac:dyDescent="0.2">
      <c r="A429" s="842">
        <v>53407</v>
      </c>
      <c r="B429" s="934" t="s">
        <v>1061</v>
      </c>
      <c r="C429" s="935">
        <f>'[15]Input Sheet'!R954</f>
        <v>0</v>
      </c>
      <c r="D429" s="861"/>
      <c r="E429" s="911">
        <v>0</v>
      </c>
      <c r="F429" s="874"/>
      <c r="G429" s="243"/>
      <c r="H429" s="243"/>
      <c r="I429" s="243"/>
      <c r="J429" s="243"/>
      <c r="K429" s="243"/>
      <c r="L429" s="243"/>
      <c r="M429" s="243"/>
    </row>
    <row r="430" spans="1:13" x14ac:dyDescent="0.2">
      <c r="A430" s="842">
        <v>53408</v>
      </c>
      <c r="B430" s="934" t="s">
        <v>1062</v>
      </c>
      <c r="C430" s="935">
        <f>'[15]Input Sheet'!R955</f>
        <v>0</v>
      </c>
      <c r="D430" s="861"/>
      <c r="E430" s="911">
        <v>0</v>
      </c>
      <c r="F430" s="874"/>
      <c r="G430" s="243"/>
      <c r="H430" s="243"/>
      <c r="I430" s="243"/>
      <c r="J430" s="243"/>
      <c r="K430" s="243"/>
      <c r="L430" s="243"/>
      <c r="M430" s="243"/>
    </row>
    <row r="431" spans="1:13" x14ac:dyDescent="0.2">
      <c r="A431" s="842">
        <v>53409</v>
      </c>
      <c r="B431" s="934" t="s">
        <v>1063</v>
      </c>
      <c r="C431" s="935">
        <f>'[15]Input Sheet'!R956</f>
        <v>0</v>
      </c>
      <c r="D431" s="861"/>
      <c r="E431" s="911">
        <v>0</v>
      </c>
      <c r="F431" s="874"/>
      <c r="G431" s="243"/>
      <c r="H431" s="243"/>
      <c r="I431" s="243"/>
      <c r="J431" s="243"/>
      <c r="K431" s="243"/>
      <c r="L431" s="243"/>
      <c r="M431" s="243"/>
    </row>
    <row r="432" spans="1:13" x14ac:dyDescent="0.2">
      <c r="A432" s="842">
        <v>53410</v>
      </c>
      <c r="B432" s="934" t="s">
        <v>1064</v>
      </c>
      <c r="C432" s="935">
        <f>'[15]Input Sheet'!R957</f>
        <v>0</v>
      </c>
      <c r="D432" s="861"/>
      <c r="E432" s="911">
        <v>0</v>
      </c>
      <c r="F432" s="874"/>
      <c r="G432" s="243"/>
      <c r="H432" s="243"/>
      <c r="I432" s="243"/>
      <c r="J432" s="243"/>
      <c r="K432" s="243"/>
      <c r="L432" s="243"/>
      <c r="M432" s="243"/>
    </row>
    <row r="433" spans="1:13" x14ac:dyDescent="0.2">
      <c r="A433" s="842">
        <v>53411</v>
      </c>
      <c r="B433" s="934" t="s">
        <v>1065</v>
      </c>
      <c r="C433" s="935">
        <f>'[15]Input Sheet'!R958</f>
        <v>0</v>
      </c>
      <c r="D433" s="861"/>
      <c r="E433" s="911">
        <v>0</v>
      </c>
      <c r="F433" s="874"/>
      <c r="G433" s="243"/>
      <c r="H433" s="243"/>
      <c r="I433" s="243"/>
      <c r="J433" s="243"/>
      <c r="K433" s="243"/>
      <c r="L433" s="243"/>
      <c r="M433" s="243"/>
    </row>
    <row r="434" spans="1:13" x14ac:dyDescent="0.2">
      <c r="A434" s="842">
        <v>53412</v>
      </c>
      <c r="B434" s="934" t="s">
        <v>1066</v>
      </c>
      <c r="C434" s="935">
        <f>'[15]Input Sheet'!R959</f>
        <v>0</v>
      </c>
      <c r="D434" s="861"/>
      <c r="E434" s="911">
        <v>0</v>
      </c>
      <c r="G434" s="243"/>
      <c r="H434" s="243"/>
      <c r="I434" s="243"/>
      <c r="J434" s="243"/>
      <c r="K434" s="243"/>
      <c r="L434" s="243"/>
      <c r="M434" s="243"/>
    </row>
    <row r="435" spans="1:13" x14ac:dyDescent="0.2">
      <c r="A435" s="956">
        <v>53413</v>
      </c>
      <c r="B435" s="934" t="s">
        <v>1067</v>
      </c>
      <c r="C435" s="935">
        <f>'[15]Input Sheet'!R960</f>
        <v>0</v>
      </c>
      <c r="D435" s="861"/>
      <c r="E435" s="911">
        <v>0</v>
      </c>
      <c r="G435" s="243"/>
      <c r="H435" s="243"/>
      <c r="I435" s="243"/>
      <c r="J435" s="243"/>
      <c r="K435" s="243"/>
      <c r="L435" s="243"/>
      <c r="M435" s="243"/>
    </row>
    <row r="436" spans="1:13" x14ac:dyDescent="0.2">
      <c r="A436" s="956">
        <v>53415</v>
      </c>
      <c r="B436" s="934" t="s">
        <v>1068</v>
      </c>
      <c r="C436" s="935">
        <f>'[15]Input Sheet'!R962</f>
        <v>0</v>
      </c>
      <c r="D436" s="861"/>
      <c r="E436" s="911">
        <v>0</v>
      </c>
      <c r="G436" s="243"/>
      <c r="H436" s="243"/>
      <c r="I436" s="243"/>
      <c r="J436" s="243"/>
      <c r="K436" s="243"/>
      <c r="L436" s="243"/>
      <c r="M436" s="243"/>
    </row>
    <row r="437" spans="1:13" ht="25.5" x14ac:dyDescent="0.2">
      <c r="A437" s="956">
        <v>53417</v>
      </c>
      <c r="B437" s="939" t="s">
        <v>1069</v>
      </c>
      <c r="C437" s="935">
        <f>'[15]Input Sheet'!R964</f>
        <v>0</v>
      </c>
      <c r="D437" s="861"/>
      <c r="E437" s="911">
        <v>0</v>
      </c>
      <c r="G437" s="243"/>
      <c r="H437" s="243"/>
      <c r="I437" s="243"/>
      <c r="J437" s="243"/>
      <c r="K437" s="243"/>
      <c r="L437" s="243"/>
      <c r="M437" s="243"/>
    </row>
    <row r="438" spans="1:13" ht="25.5" x14ac:dyDescent="0.2">
      <c r="A438" s="956">
        <v>53422</v>
      </c>
      <c r="B438" s="939" t="s">
        <v>1070</v>
      </c>
      <c r="C438" s="935">
        <f>'[15]Input Sheet'!R969</f>
        <v>894.23418549999997</v>
      </c>
      <c r="D438" s="861"/>
      <c r="E438" s="911">
        <v>1066.6391994000001</v>
      </c>
      <c r="G438" s="243"/>
      <c r="H438" s="243"/>
      <c r="I438" s="243"/>
      <c r="J438" s="243"/>
      <c r="K438" s="243"/>
      <c r="L438" s="243"/>
      <c r="M438" s="243"/>
    </row>
    <row r="439" spans="1:13" x14ac:dyDescent="0.2">
      <c r="A439" s="956">
        <f>'[15]Input Sheet'!D970</f>
        <v>53423</v>
      </c>
      <c r="B439" s="934" t="str">
        <f>'[15]Input Sheet'!E970</f>
        <v>REC LT-16770(Project-Gare Palma)</v>
      </c>
      <c r="C439" s="935">
        <f>'[15]Input Sheet'!R970</f>
        <v>355.7161997</v>
      </c>
      <c r="D439" s="861"/>
      <c r="E439" s="911">
        <v>355.7161997</v>
      </c>
      <c r="G439" s="243"/>
      <c r="H439" s="243"/>
      <c r="I439" s="243"/>
      <c r="J439" s="243"/>
      <c r="K439" s="243"/>
      <c r="L439" s="243"/>
      <c r="M439" s="243"/>
    </row>
    <row r="440" spans="1:13" x14ac:dyDescent="0.2">
      <c r="A440" s="956">
        <f>'[15]Input Sheet'!D971</f>
        <v>53424</v>
      </c>
      <c r="B440" s="934" t="str">
        <f>'[15]Input Sheet'!E971</f>
        <v>REC LT-15643(Capex-Chandrapur TPS)</v>
      </c>
      <c r="C440" s="935">
        <f>'[15]Input Sheet'!R971</f>
        <v>2.9999703000000002</v>
      </c>
      <c r="D440" s="861"/>
      <c r="E440" s="911">
        <v>2.5439002999999998</v>
      </c>
    </row>
    <row r="441" spans="1:13" x14ac:dyDescent="0.2">
      <c r="A441" s="956">
        <f>'[15]Input Sheet'!D972</f>
        <v>53426</v>
      </c>
      <c r="B441" s="934" t="str">
        <f>'[15]Input Sheet'!E972</f>
        <v>REC LT-15654(Capex-Chandrapur TPS)</v>
      </c>
      <c r="C441" s="935">
        <f>'[15]Input Sheet'!R972</f>
        <v>14.4117333</v>
      </c>
      <c r="D441" s="861"/>
      <c r="E441" s="911">
        <v>14.656000000000001</v>
      </c>
    </row>
    <row r="442" spans="1:13" x14ac:dyDescent="0.2">
      <c r="A442" s="956">
        <f>'[15]Input Sheet'!D973</f>
        <v>53427</v>
      </c>
      <c r="B442" s="1000" t="str">
        <f>'[15]Input Sheet'!E973</f>
        <v>REC LT-15655(Capex-Uran GTPS)</v>
      </c>
      <c r="C442" s="935">
        <f>'[15]Input Sheet'!R973</f>
        <v>4.8193489999999999</v>
      </c>
      <c r="D442" s="861"/>
      <c r="E442" s="911">
        <v>2.4887771999999999</v>
      </c>
    </row>
    <row r="443" spans="1:13" x14ac:dyDescent="0.2">
      <c r="A443" s="956">
        <f>'[15]Input Sheet'!D974</f>
        <v>53428</v>
      </c>
      <c r="B443" s="934" t="str">
        <f>'[15]Input Sheet'!E974</f>
        <v>REC LT-15656(Capex-Paras TPS)</v>
      </c>
      <c r="C443" s="935">
        <f>'[15]Input Sheet'!R974</f>
        <v>5.4884976999999999</v>
      </c>
      <c r="D443" s="861"/>
    </row>
    <row r="444" spans="1:13" x14ac:dyDescent="0.2">
      <c r="A444" s="956">
        <f>'[15]Input Sheet'!D975</f>
        <v>53430</v>
      </c>
      <c r="B444" s="934" t="str">
        <f>'[15]Input Sheet'!E975</f>
        <v>REC LT-16052(Capex-Chandrapur TPS)</v>
      </c>
      <c r="C444" s="935">
        <f>'[15]Input Sheet'!R975</f>
        <v>26.9</v>
      </c>
      <c r="D444" s="861"/>
      <c r="E444" s="911">
        <v>30.128</v>
      </c>
    </row>
    <row r="445" spans="1:13" x14ac:dyDescent="0.2">
      <c r="A445" s="956">
        <f>'[15]Input Sheet'!D976</f>
        <v>53433</v>
      </c>
      <c r="B445" s="934" t="str">
        <f>'[15]Input Sheet'!E976</f>
        <v>REC LT-16055(Capex-Chandrapur TPS)</v>
      </c>
      <c r="C445" s="935">
        <f>'[15]Input Sheet'!R976</f>
        <v>7.8099539</v>
      </c>
      <c r="D445" s="861"/>
    </row>
    <row r="446" spans="1:13" x14ac:dyDescent="0.2">
      <c r="A446" s="956">
        <f>'[15]Input Sheet'!D977</f>
        <v>53435</v>
      </c>
      <c r="B446" s="934" t="str">
        <f>'[15]Input Sheet'!E977</f>
        <v>REC LT-16057(Capex-Koradi TPS)</v>
      </c>
      <c r="C446" s="935">
        <f>'[15]Input Sheet'!R977</f>
        <v>16.017539800000002</v>
      </c>
      <c r="D446" s="861"/>
      <c r="E446" s="911">
        <v>16.017539800000002</v>
      </c>
    </row>
    <row r="447" spans="1:13" x14ac:dyDescent="0.2">
      <c r="A447" s="956">
        <v>53437</v>
      </c>
      <c r="B447" s="935" t="s">
        <v>1071</v>
      </c>
      <c r="C447" s="935">
        <f>'[15]Input Sheet'!R978</f>
        <v>17.079090999999998</v>
      </c>
      <c r="D447" s="861"/>
    </row>
    <row r="448" spans="1:13" x14ac:dyDescent="0.2">
      <c r="A448" s="956"/>
      <c r="B448" s="939"/>
      <c r="C448" s="888">
        <f>SUM(C421:C447)</f>
        <v>2170.4761355999999</v>
      </c>
      <c r="D448" s="861"/>
      <c r="E448" s="888">
        <f>SUM(E421:E447)</f>
        <v>1488.1896163999997</v>
      </c>
    </row>
    <row r="449" spans="1:13" x14ac:dyDescent="0.2">
      <c r="A449" s="956"/>
      <c r="B449" s="996" t="s">
        <v>1050</v>
      </c>
      <c r="C449" s="1001">
        <f>'[15]LT Final'!E14+'[15]LT Final'!E15</f>
        <v>172.4</v>
      </c>
      <c r="D449" s="861"/>
      <c r="E449" s="911">
        <v>172.4</v>
      </c>
    </row>
    <row r="450" spans="1:13" x14ac:dyDescent="0.2">
      <c r="A450" s="1002"/>
      <c r="B450" s="1003"/>
      <c r="C450" s="1004">
        <f>+C448-C449</f>
        <v>1998.0761355999998</v>
      </c>
      <c r="D450" s="1004">
        <f>+C450</f>
        <v>1998.0761355999998</v>
      </c>
      <c r="E450" s="1004">
        <f>+E448-E449</f>
        <v>1315.7896163999997</v>
      </c>
      <c r="F450" s="1004">
        <f>+E450</f>
        <v>1315.7896163999997</v>
      </c>
    </row>
    <row r="451" spans="1:13" x14ac:dyDescent="0.2">
      <c r="B451" s="1005"/>
      <c r="C451" s="1006"/>
      <c r="D451" s="1006"/>
    </row>
    <row r="452" spans="1:13" x14ac:dyDescent="0.2">
      <c r="A452" s="1007"/>
      <c r="B452" s="1008" t="s">
        <v>636</v>
      </c>
      <c r="C452" s="1009"/>
      <c r="D452" s="891"/>
    </row>
    <row r="453" spans="1:13" x14ac:dyDescent="0.2">
      <c r="A453" s="956"/>
      <c r="B453" s="897" t="s">
        <v>632</v>
      </c>
      <c r="C453" s="898"/>
      <c r="D453" s="1010">
        <f>E1284</f>
        <v>0</v>
      </c>
    </row>
    <row r="454" spans="1:13" x14ac:dyDescent="0.2">
      <c r="A454" s="956"/>
      <c r="B454" s="897" t="s">
        <v>637</v>
      </c>
      <c r="C454" s="898"/>
      <c r="D454" s="861"/>
    </row>
    <row r="455" spans="1:13" x14ac:dyDescent="0.2">
      <c r="A455" s="956">
        <v>54200</v>
      </c>
      <c r="B455" s="897" t="s">
        <v>1072</v>
      </c>
      <c r="C455" s="898">
        <f>'[15]Input Sheet'!R1057</f>
        <v>0</v>
      </c>
      <c r="D455" s="861"/>
      <c r="E455" s="911">
        <v>0</v>
      </c>
    </row>
    <row r="456" spans="1:13" x14ac:dyDescent="0.2">
      <c r="A456" s="956">
        <v>54201</v>
      </c>
      <c r="B456" s="897" t="s">
        <v>1073</v>
      </c>
      <c r="C456" s="898">
        <f>'[15]Input Sheet'!R1058</f>
        <v>0</v>
      </c>
      <c r="D456" s="861"/>
      <c r="E456" s="911">
        <v>0</v>
      </c>
      <c r="G456" s="243"/>
      <c r="H456" s="243"/>
      <c r="I456" s="243"/>
      <c r="J456" s="243"/>
      <c r="K456" s="243"/>
      <c r="L456" s="243"/>
      <c r="M456" s="243"/>
    </row>
    <row r="457" spans="1:13" x14ac:dyDescent="0.2">
      <c r="A457" s="956">
        <v>54202</v>
      </c>
      <c r="B457" s="818" t="s">
        <v>1074</v>
      </c>
      <c r="C457" s="898">
        <f>'[15]Input Sheet'!R1059</f>
        <v>0</v>
      </c>
      <c r="D457" s="861"/>
      <c r="E457" s="911">
        <v>0</v>
      </c>
      <c r="G457" s="243"/>
      <c r="H457" s="243"/>
      <c r="I457" s="243"/>
      <c r="J457" s="243"/>
      <c r="K457" s="243"/>
      <c r="L457" s="243"/>
      <c r="M457" s="243"/>
    </row>
    <row r="458" spans="1:13" x14ac:dyDescent="0.2">
      <c r="A458" s="956"/>
      <c r="B458" s="818"/>
      <c r="C458" s="891">
        <f>SUM(C455:C457)</f>
        <v>0</v>
      </c>
      <c r="D458" s="891">
        <f>+C458</f>
        <v>0</v>
      </c>
      <c r="E458" s="891">
        <f>SUM(E455:E457)</f>
        <v>0</v>
      </c>
      <c r="F458" s="891">
        <f>+E458</f>
        <v>0</v>
      </c>
      <c r="G458" s="243"/>
      <c r="H458" s="243"/>
      <c r="I458" s="243"/>
      <c r="J458" s="243"/>
      <c r="K458" s="243"/>
      <c r="L458" s="243"/>
      <c r="M458" s="243"/>
    </row>
    <row r="459" spans="1:13" x14ac:dyDescent="0.2">
      <c r="A459" s="956">
        <v>53418</v>
      </c>
      <c r="B459" s="897" t="s">
        <v>638</v>
      </c>
      <c r="C459" s="852">
        <f>'[15]Input Sheet'!R965</f>
        <v>259.04657539999999</v>
      </c>
      <c r="D459" s="861"/>
      <c r="E459" s="911">
        <v>270.9090928</v>
      </c>
      <c r="G459" s="243"/>
      <c r="H459" s="243"/>
      <c r="I459" s="243"/>
      <c r="J459" s="243"/>
      <c r="K459" s="243"/>
      <c r="L459" s="243"/>
      <c r="M459" s="243"/>
    </row>
    <row r="460" spans="1:13" x14ac:dyDescent="0.2">
      <c r="A460" s="956"/>
      <c r="B460" s="996" t="s">
        <v>1050</v>
      </c>
      <c r="C460" s="898">
        <f>'[15]LT Final'!E24</f>
        <v>15.5035446</v>
      </c>
      <c r="D460" s="861"/>
      <c r="E460" s="911">
        <v>15.5035446</v>
      </c>
      <c r="G460" s="243"/>
      <c r="H460" s="243"/>
      <c r="I460" s="243"/>
      <c r="J460" s="243"/>
      <c r="K460" s="243"/>
      <c r="L460" s="243"/>
      <c r="M460" s="243"/>
    </row>
    <row r="461" spans="1:13" x14ac:dyDescent="0.2">
      <c r="A461" s="956"/>
      <c r="B461" s="897"/>
      <c r="C461" s="1011">
        <f>+C459-C460</f>
        <v>243.5430308</v>
      </c>
      <c r="D461" s="891">
        <f>+C461</f>
        <v>243.5430308</v>
      </c>
      <c r="E461" s="1011">
        <f>+E459-E460</f>
        <v>255.4055482</v>
      </c>
      <c r="F461" s="891">
        <f>+E461</f>
        <v>255.4055482</v>
      </c>
      <c r="G461" s="243"/>
      <c r="H461" s="243"/>
      <c r="I461" s="243"/>
      <c r="J461" s="243"/>
      <c r="K461" s="243"/>
      <c r="L461" s="243"/>
      <c r="M461" s="243"/>
    </row>
    <row r="462" spans="1:13" x14ac:dyDescent="0.2">
      <c r="A462" s="956"/>
      <c r="B462" s="897"/>
      <c r="C462" s="898"/>
      <c r="D462" s="861"/>
      <c r="G462" s="243"/>
      <c r="H462" s="243"/>
      <c r="I462" s="243"/>
      <c r="J462" s="243"/>
      <c r="K462" s="243"/>
      <c r="L462" s="243"/>
      <c r="M462" s="243"/>
    </row>
    <row r="463" spans="1:13" ht="13.5" customHeight="1" x14ac:dyDescent="0.2">
      <c r="A463" s="956">
        <v>53801</v>
      </c>
      <c r="B463" s="995" t="s">
        <v>1075</v>
      </c>
      <c r="C463" s="917">
        <f>'[15]Input Sheet'!R1056</f>
        <v>149.05813169999999</v>
      </c>
      <c r="D463" s="861"/>
      <c r="E463" s="911">
        <v>160.77756410000001</v>
      </c>
      <c r="G463" s="243"/>
      <c r="H463" s="243"/>
      <c r="I463" s="243"/>
      <c r="J463" s="243"/>
      <c r="K463" s="243"/>
      <c r="L463" s="243"/>
      <c r="M463" s="243"/>
    </row>
    <row r="464" spans="1:13" ht="29.25" customHeight="1" x14ac:dyDescent="0.2">
      <c r="A464" s="956"/>
      <c r="B464" s="996" t="s">
        <v>1050</v>
      </c>
      <c r="C464" s="917">
        <f>'[15]LT Final'!E34</f>
        <v>4.2996131999999996</v>
      </c>
      <c r="D464" s="861"/>
      <c r="E464" s="911">
        <v>4.2996131999999996</v>
      </c>
      <c r="G464" s="243"/>
      <c r="H464" s="243"/>
      <c r="I464" s="243"/>
      <c r="J464" s="243"/>
      <c r="K464" s="243"/>
      <c r="L464" s="243"/>
      <c r="M464" s="243"/>
    </row>
    <row r="465" spans="1:13" x14ac:dyDescent="0.2">
      <c r="A465" s="956"/>
      <c r="B465" s="818"/>
      <c r="C465" s="891">
        <f>+C463-C464</f>
        <v>144.75851849999998</v>
      </c>
      <c r="D465" s="891">
        <f>+C465</f>
        <v>144.75851849999998</v>
      </c>
      <c r="E465" s="891">
        <f>+E463-E464</f>
        <v>156.4779509</v>
      </c>
      <c r="F465" s="891">
        <f>+E465</f>
        <v>156.4779509</v>
      </c>
      <c r="G465" s="243"/>
      <c r="H465" s="243"/>
      <c r="I465" s="243"/>
      <c r="J465" s="243"/>
      <c r="K465" s="243"/>
      <c r="L465" s="243"/>
      <c r="M465" s="243"/>
    </row>
    <row r="466" spans="1:13" x14ac:dyDescent="0.2">
      <c r="A466" s="956"/>
      <c r="B466" s="895"/>
      <c r="C466" s="896"/>
      <c r="D466" s="861"/>
      <c r="G466" s="243"/>
      <c r="H466" s="243"/>
      <c r="I466" s="243"/>
      <c r="J466" s="243"/>
      <c r="K466" s="243"/>
      <c r="L466" s="243"/>
      <c r="M466" s="243"/>
    </row>
    <row r="467" spans="1:13" x14ac:dyDescent="0.2">
      <c r="A467" s="956"/>
      <c r="B467" s="897" t="s">
        <v>640</v>
      </c>
      <c r="C467" s="898"/>
      <c r="D467" s="861"/>
      <c r="G467" s="243"/>
      <c r="H467" s="243"/>
      <c r="I467" s="243"/>
      <c r="J467" s="243"/>
      <c r="K467" s="243"/>
      <c r="L467" s="243"/>
      <c r="M467" s="243"/>
    </row>
    <row r="468" spans="1:13" ht="25.5" x14ac:dyDescent="0.2">
      <c r="A468" s="956">
        <v>53416</v>
      </c>
      <c r="B468" s="939" t="s">
        <v>1076</v>
      </c>
      <c r="C468" s="852">
        <f>'[15]Input Sheet'!R963</f>
        <v>0</v>
      </c>
      <c r="D468" s="861"/>
      <c r="E468" s="911">
        <v>110.3069577</v>
      </c>
      <c r="G468" s="243"/>
      <c r="H468" s="243"/>
      <c r="I468" s="243"/>
      <c r="J468" s="243"/>
      <c r="K468" s="243"/>
      <c r="L468" s="243"/>
      <c r="M468" s="243"/>
    </row>
    <row r="469" spans="1:13" ht="25.5" x14ac:dyDescent="0.2">
      <c r="A469" s="956">
        <v>53421</v>
      </c>
      <c r="B469" s="939" t="s">
        <v>1077</v>
      </c>
      <c r="C469" s="852">
        <f>'[15]Input Sheet'!R968</f>
        <v>41.243363357999996</v>
      </c>
      <c r="D469" s="861"/>
      <c r="E469" s="911">
        <v>13.224503858</v>
      </c>
      <c r="G469" s="243"/>
      <c r="H469" s="243"/>
      <c r="I469" s="243"/>
      <c r="J469" s="243"/>
      <c r="K469" s="243"/>
      <c r="L469" s="243"/>
      <c r="M469" s="243"/>
    </row>
    <row r="470" spans="1:13" x14ac:dyDescent="0.2">
      <c r="A470" s="956"/>
      <c r="B470" s="939"/>
      <c r="C470" s="888">
        <f>SUM(C468:C469)</f>
        <v>41.243363357999996</v>
      </c>
      <c r="D470" s="861"/>
      <c r="E470" s="888">
        <f>SUM(E468:E469)</f>
        <v>123.531461558</v>
      </c>
      <c r="G470" s="243"/>
      <c r="H470" s="243"/>
      <c r="I470" s="243"/>
      <c r="J470" s="243"/>
      <c r="K470" s="243"/>
      <c r="L470" s="243"/>
      <c r="M470" s="243"/>
    </row>
    <row r="471" spans="1:13" x14ac:dyDescent="0.2">
      <c r="A471" s="956"/>
      <c r="B471" s="996" t="s">
        <v>1050</v>
      </c>
      <c r="C471" s="896">
        <f>'[15]LT Final'!E23</f>
        <v>41.243363357999996</v>
      </c>
      <c r="D471" s="861"/>
      <c r="E471" s="911">
        <v>123.531461558</v>
      </c>
      <c r="G471" s="243"/>
      <c r="H471" s="243"/>
      <c r="I471" s="243"/>
      <c r="J471" s="243"/>
      <c r="K471" s="243"/>
      <c r="L471" s="243"/>
      <c r="M471" s="243"/>
    </row>
    <row r="472" spans="1:13" x14ac:dyDescent="0.2">
      <c r="A472" s="956"/>
      <c r="B472" s="996"/>
      <c r="C472" s="1012">
        <f>+C470-C471</f>
        <v>0</v>
      </c>
      <c r="D472" s="1013">
        <f>+C472</f>
        <v>0</v>
      </c>
      <c r="E472" s="1012">
        <f>+E470-E471</f>
        <v>0</v>
      </c>
      <c r="F472" s="891">
        <f>+E472</f>
        <v>0</v>
      </c>
    </row>
    <row r="473" spans="1:13" x14ac:dyDescent="0.2">
      <c r="A473" s="956">
        <v>58221</v>
      </c>
      <c r="B473" s="856" t="s">
        <v>650</v>
      </c>
      <c r="C473" s="1014"/>
      <c r="D473" s="852">
        <f>+'[15]Input Sheet'!R1072</f>
        <v>6.6902387000000001</v>
      </c>
      <c r="F473" s="852">
        <v>4.0669728000000003</v>
      </c>
    </row>
    <row r="474" spans="1:13" ht="25.5" x14ac:dyDescent="0.2">
      <c r="A474" s="956">
        <v>53419</v>
      </c>
      <c r="B474" s="902" t="s">
        <v>1078</v>
      </c>
      <c r="C474" s="1015">
        <f>+'[15]Input Sheet'!R966</f>
        <v>0</v>
      </c>
      <c r="D474" s="1006"/>
    </row>
    <row r="475" spans="1:13" ht="25.5" x14ac:dyDescent="0.2">
      <c r="A475" s="956">
        <v>53420</v>
      </c>
      <c r="B475" s="902" t="s">
        <v>1079</v>
      </c>
      <c r="C475" s="1015">
        <f>+'[15]Input Sheet'!R967</f>
        <v>0</v>
      </c>
      <c r="D475" s="1006"/>
    </row>
    <row r="476" spans="1:13" x14ac:dyDescent="0.2">
      <c r="A476" s="956"/>
      <c r="B476" s="996" t="s">
        <v>1050</v>
      </c>
      <c r="C476" s="1015"/>
      <c r="D476" s="1006"/>
    </row>
    <row r="477" spans="1:13" x14ac:dyDescent="0.2">
      <c r="A477" s="956"/>
      <c r="B477" s="996"/>
      <c r="C477" s="1015"/>
      <c r="D477" s="1016">
        <f>+SUM(C474:C475)-C476</f>
        <v>0</v>
      </c>
    </row>
    <row r="478" spans="1:13" ht="13.5" thickBot="1" x14ac:dyDescent="0.25">
      <c r="A478" s="956"/>
      <c r="B478" s="1017" t="s">
        <v>7</v>
      </c>
      <c r="C478" s="1018"/>
      <c r="D478" s="1019">
        <f>SUM(D419:D477)</f>
        <v>24724.542599953405</v>
      </c>
      <c r="E478" s="1020">
        <f>E472+E465+E461+E458+E450+E419</f>
        <v>1727.6731154999998</v>
      </c>
      <c r="F478" s="1020">
        <f>F472+F465+F461+F458+F450+F419</f>
        <v>24683.272412097424</v>
      </c>
    </row>
    <row r="479" spans="1:13" ht="13.5" thickTop="1" x14ac:dyDescent="0.2">
      <c r="A479" s="956"/>
      <c r="B479" s="857"/>
      <c r="C479" s="955"/>
      <c r="D479" s="852"/>
    </row>
    <row r="480" spans="1:13" x14ac:dyDescent="0.2">
      <c r="A480" s="992" t="s">
        <v>1080</v>
      </c>
      <c r="B480" s="936" t="s">
        <v>644</v>
      </c>
      <c r="C480" s="955"/>
      <c r="D480" s="852"/>
    </row>
    <row r="481" spans="1:13" x14ac:dyDescent="0.2">
      <c r="A481" s="956">
        <f>'[15]Input Sheet'!D663</f>
        <v>46434</v>
      </c>
      <c r="B481" s="1000" t="s">
        <v>645</v>
      </c>
      <c r="C481" s="955">
        <f>'[15]Input Sheet'!R663</f>
        <v>2858.522720325645</v>
      </c>
      <c r="D481" s="852"/>
      <c r="E481" s="911">
        <v>2926.5594399255865</v>
      </c>
    </row>
    <row r="482" spans="1:13" ht="13.5" thickBot="1" x14ac:dyDescent="0.25">
      <c r="A482" s="956"/>
      <c r="B482" s="1021"/>
      <c r="C482" s="1022">
        <f>C481</f>
        <v>2858.522720325645</v>
      </c>
      <c r="D482" s="916">
        <f>C481</f>
        <v>2858.522720325645</v>
      </c>
      <c r="F482" s="916">
        <f>E481</f>
        <v>2926.5594399255865</v>
      </c>
    </row>
    <row r="483" spans="1:13" ht="13.5" thickTop="1" x14ac:dyDescent="0.2">
      <c r="A483" s="956"/>
      <c r="B483" s="857"/>
      <c r="C483" s="955"/>
      <c r="D483" s="852"/>
    </row>
    <row r="484" spans="1:13" x14ac:dyDescent="0.2">
      <c r="A484" s="992" t="s">
        <v>364</v>
      </c>
      <c r="B484" s="936" t="s">
        <v>646</v>
      </c>
      <c r="C484" s="937"/>
      <c r="D484" s="852"/>
      <c r="F484" s="927"/>
      <c r="M484" s="862"/>
    </row>
    <row r="485" spans="1:13" x14ac:dyDescent="0.2">
      <c r="A485" s="956">
        <v>44110</v>
      </c>
      <c r="B485" s="909" t="s">
        <v>210</v>
      </c>
      <c r="C485" s="917"/>
      <c r="D485" s="852">
        <f>'[15]Input Sheet'!R632</f>
        <v>719.79877039999997</v>
      </c>
      <c r="F485" s="927">
        <v>558.20255659999998</v>
      </c>
    </row>
    <row r="486" spans="1:13" x14ac:dyDescent="0.2">
      <c r="A486" s="956">
        <v>44340</v>
      </c>
      <c r="B486" s="909" t="s">
        <v>647</v>
      </c>
      <c r="C486" s="917"/>
      <c r="D486" s="852">
        <f>'[15]Input Sheet'!R634</f>
        <v>784.35546490000002</v>
      </c>
      <c r="F486" s="927">
        <v>595.24605069999996</v>
      </c>
    </row>
    <row r="487" spans="1:13" ht="13.5" thickBot="1" x14ac:dyDescent="0.25">
      <c r="A487" s="956"/>
      <c r="B487" s="1021"/>
      <c r="C487" s="1022"/>
      <c r="D487" s="916">
        <f>SUM(D485:D486)</f>
        <v>1504.1542353</v>
      </c>
      <c r="F487" s="916">
        <f>SUM(F485:F486)</f>
        <v>1153.4486072999998</v>
      </c>
    </row>
    <row r="488" spans="1:13" ht="13.5" thickTop="1" x14ac:dyDescent="0.2">
      <c r="A488" s="956"/>
      <c r="B488" s="818"/>
      <c r="C488" s="852"/>
      <c r="D488" s="852"/>
      <c r="F488" s="927"/>
    </row>
    <row r="489" spans="1:13" ht="12.75" customHeight="1" x14ac:dyDescent="0.2">
      <c r="A489" s="956"/>
      <c r="B489" s="818"/>
      <c r="C489" s="852"/>
      <c r="D489" s="852"/>
      <c r="F489" s="927"/>
    </row>
    <row r="490" spans="1:13" x14ac:dyDescent="0.2">
      <c r="A490" s="992" t="s">
        <v>1081</v>
      </c>
      <c r="B490" s="936" t="s">
        <v>648</v>
      </c>
      <c r="C490" s="937"/>
      <c r="D490" s="861"/>
      <c r="E490" s="1023"/>
      <c r="F490" s="927"/>
      <c r="G490" s="862"/>
      <c r="H490" s="862"/>
      <c r="I490" s="862"/>
      <c r="K490" s="862"/>
      <c r="L490" s="862"/>
      <c r="M490" s="862"/>
    </row>
    <row r="491" spans="1:13" x14ac:dyDescent="0.2">
      <c r="A491" s="956">
        <v>55101</v>
      </c>
      <c r="B491" s="818" t="s">
        <v>1082</v>
      </c>
      <c r="C491" s="852">
        <f>+'[15]Input Sheet'!R1061</f>
        <v>0</v>
      </c>
      <c r="D491" s="852"/>
      <c r="E491" s="911">
        <v>0</v>
      </c>
      <c r="F491" s="927"/>
    </row>
    <row r="492" spans="1:13" x14ac:dyDescent="0.2">
      <c r="A492" s="956">
        <v>55102</v>
      </c>
      <c r="B492" s="818" t="s">
        <v>1083</v>
      </c>
      <c r="C492" s="852">
        <f>+'[15]Input Sheet'!R1062</f>
        <v>0.25</v>
      </c>
      <c r="D492" s="852"/>
      <c r="E492" s="911">
        <v>0.25</v>
      </c>
      <c r="F492" s="927"/>
    </row>
    <row r="493" spans="1:13" x14ac:dyDescent="0.2">
      <c r="A493" s="956">
        <v>55103</v>
      </c>
      <c r="B493" s="856" t="s">
        <v>1084</v>
      </c>
      <c r="C493" s="940">
        <f>+'[15]Input Sheet'!R1063</f>
        <v>0</v>
      </c>
      <c r="D493" s="852"/>
      <c r="E493" s="911">
        <v>0</v>
      </c>
      <c r="F493" s="927"/>
    </row>
    <row r="494" spans="1:13" x14ac:dyDescent="0.2">
      <c r="A494" s="956">
        <v>55104</v>
      </c>
      <c r="B494" s="856" t="s">
        <v>1085</v>
      </c>
      <c r="C494" s="940">
        <f>+'[15]Input Sheet'!R1064</f>
        <v>0</v>
      </c>
      <c r="D494" s="852"/>
      <c r="E494" s="911">
        <v>0</v>
      </c>
    </row>
    <row r="495" spans="1:13" x14ac:dyDescent="0.2">
      <c r="A495" s="957">
        <v>55105</v>
      </c>
      <c r="B495" s="856" t="s">
        <v>1086</v>
      </c>
      <c r="C495" s="1014">
        <f>+'[15]Input Sheet'!R1065</f>
        <v>0</v>
      </c>
      <c r="D495" s="852"/>
      <c r="E495" s="911">
        <v>0</v>
      </c>
      <c r="F495" s="852"/>
    </row>
    <row r="496" spans="1:13" x14ac:dyDescent="0.2">
      <c r="A496" s="957">
        <v>55106</v>
      </c>
      <c r="B496" s="856" t="s">
        <v>649</v>
      </c>
      <c r="C496" s="1014">
        <f>+'[15]Input Sheet'!R1066</f>
        <v>560.20862350000004</v>
      </c>
      <c r="D496" s="852"/>
      <c r="E496" s="911">
        <v>364.96133279999998</v>
      </c>
      <c r="F496" s="852"/>
    </row>
    <row r="497" spans="1:13" x14ac:dyDescent="0.2">
      <c r="A497" s="957">
        <v>99116</v>
      </c>
      <c r="B497" s="856" t="s">
        <v>1087</v>
      </c>
      <c r="C497" s="1014">
        <f>'[15]Input Sheet'!R1387</f>
        <v>63.681047399999997</v>
      </c>
      <c r="D497" s="852"/>
      <c r="E497" s="911">
        <v>63.681047399999997</v>
      </c>
      <c r="F497" s="852"/>
    </row>
    <row r="498" spans="1:13" x14ac:dyDescent="0.2">
      <c r="A498" s="957">
        <v>99117</v>
      </c>
      <c r="B498" s="856" t="s">
        <v>1088</v>
      </c>
      <c r="C498" s="1014">
        <f>'[15]Input Sheet'!R1388</f>
        <v>93.521071399999997</v>
      </c>
      <c r="D498" s="852"/>
      <c r="E498" s="911">
        <v>93.521071399999997</v>
      </c>
      <c r="F498" s="852"/>
    </row>
    <row r="499" spans="1:13" x14ac:dyDescent="0.2">
      <c r="A499" s="957">
        <v>99118</v>
      </c>
      <c r="B499" s="856" t="s">
        <v>1089</v>
      </c>
      <c r="C499" s="1014">
        <f>'[15]Input Sheet'!R1389</f>
        <v>132.26029053900001</v>
      </c>
      <c r="D499" s="852">
        <f>SUM(C491:C499)</f>
        <v>849.92103283900008</v>
      </c>
      <c r="E499" s="911">
        <v>132.26029053900001</v>
      </c>
      <c r="F499" s="852">
        <f>SUM(E491:E499)</f>
        <v>654.67374213900007</v>
      </c>
    </row>
    <row r="500" spans="1:13" x14ac:dyDescent="0.2">
      <c r="A500" s="956"/>
      <c r="B500" s="1000"/>
      <c r="C500" s="1014"/>
      <c r="D500" s="852"/>
      <c r="F500" s="852"/>
    </row>
    <row r="501" spans="1:13" x14ac:dyDescent="0.2">
      <c r="A501" s="842"/>
      <c r="B501" s="1024" t="s">
        <v>7</v>
      </c>
      <c r="C501" s="1025">
        <f>SUM(C491:C500)</f>
        <v>849.92103283900008</v>
      </c>
      <c r="D501" s="1025">
        <f>SUM(D491:D500)</f>
        <v>849.92103283900008</v>
      </c>
      <c r="E501" s="1025">
        <f>SUM(E491:E494)</f>
        <v>0.25</v>
      </c>
      <c r="F501" s="1025">
        <f>SUM(F491:F500)</f>
        <v>654.67374213900007</v>
      </c>
    </row>
    <row r="502" spans="1:13" x14ac:dyDescent="0.2">
      <c r="A502" s="956"/>
      <c r="B502" s="818"/>
      <c r="C502" s="852"/>
      <c r="D502" s="852"/>
    </row>
    <row r="503" spans="1:13" x14ac:dyDescent="0.2">
      <c r="A503" s="956"/>
      <c r="B503" s="818"/>
      <c r="C503" s="852"/>
      <c r="D503" s="852"/>
    </row>
    <row r="504" spans="1:13" x14ac:dyDescent="0.2">
      <c r="A504" s="992" t="s">
        <v>1090</v>
      </c>
      <c r="B504" s="936" t="s">
        <v>652</v>
      </c>
      <c r="C504" s="937"/>
      <c r="D504" s="861"/>
      <c r="L504" s="862"/>
      <c r="M504" s="862"/>
    </row>
    <row r="505" spans="1:13" x14ac:dyDescent="0.2">
      <c r="A505" s="956"/>
      <c r="B505" s="944" t="s">
        <v>1091</v>
      </c>
      <c r="C505" s="945"/>
      <c r="D505" s="852"/>
    </row>
    <row r="506" spans="1:13" x14ac:dyDescent="0.2">
      <c r="A506" s="956"/>
      <c r="B506" s="944" t="s">
        <v>631</v>
      </c>
      <c r="C506" s="945"/>
      <c r="D506" s="852"/>
      <c r="J506" s="862"/>
    </row>
    <row r="507" spans="1:13" x14ac:dyDescent="0.2">
      <c r="A507" s="956"/>
      <c r="B507" s="944" t="s">
        <v>1092</v>
      </c>
      <c r="C507" s="945"/>
      <c r="D507" s="852"/>
      <c r="J507" s="1026"/>
    </row>
    <row r="508" spans="1:13" x14ac:dyDescent="0.2">
      <c r="A508" s="956"/>
      <c r="B508" s="909" t="s">
        <v>1093</v>
      </c>
      <c r="C508" s="917"/>
      <c r="D508" s="852"/>
      <c r="J508" s="1026"/>
    </row>
    <row r="509" spans="1:13" x14ac:dyDescent="0.2">
      <c r="A509" s="956">
        <v>50201</v>
      </c>
      <c r="B509" s="934" t="s">
        <v>1094</v>
      </c>
      <c r="C509" s="937">
        <f>+'[15]Input Sheet'!Q745</f>
        <v>2096.34</v>
      </c>
      <c r="D509" s="852"/>
      <c r="E509" s="911">
        <v>2603.2399999999998</v>
      </c>
      <c r="J509" s="1026"/>
    </row>
    <row r="510" spans="1:13" x14ac:dyDescent="0.2">
      <c r="A510" s="956">
        <v>50202</v>
      </c>
      <c r="B510" s="934" t="s">
        <v>1095</v>
      </c>
      <c r="C510" s="937">
        <f>+'[15]Input Sheet'!Q746</f>
        <v>735</v>
      </c>
      <c r="D510" s="852"/>
      <c r="E510" s="911">
        <v>0</v>
      </c>
      <c r="J510" s="1026"/>
    </row>
    <row r="511" spans="1:13" x14ac:dyDescent="0.2">
      <c r="A511" s="956">
        <v>50203</v>
      </c>
      <c r="B511" s="934" t="s">
        <v>1096</v>
      </c>
      <c r="C511" s="937">
        <f>+'[15]Input Sheet'!Q747</f>
        <v>2957.09</v>
      </c>
      <c r="D511" s="852"/>
      <c r="E511" s="911">
        <v>2931.8</v>
      </c>
      <c r="J511" s="1026"/>
    </row>
    <row r="512" spans="1:13" x14ac:dyDescent="0.2">
      <c r="A512" s="956">
        <v>50204</v>
      </c>
      <c r="B512" s="934" t="s">
        <v>1097</v>
      </c>
      <c r="C512" s="937">
        <f>+'[15]Input Sheet'!Q748</f>
        <v>699.99914660000002</v>
      </c>
      <c r="D512" s="852"/>
      <c r="E512" s="911">
        <v>908.99978729999998</v>
      </c>
      <c r="J512" s="1026"/>
    </row>
    <row r="513" spans="1:13" x14ac:dyDescent="0.2">
      <c r="A513" s="956">
        <v>50205</v>
      </c>
      <c r="B513" s="934" t="s">
        <v>1098</v>
      </c>
      <c r="C513" s="937">
        <f>+'[15]Input Sheet'!Q749</f>
        <v>340.47692602699999</v>
      </c>
      <c r="D513" s="852"/>
      <c r="E513" s="911">
        <v>340.47577946300004</v>
      </c>
      <c r="J513" s="243"/>
    </row>
    <row r="514" spans="1:13" x14ac:dyDescent="0.2">
      <c r="A514" s="956">
        <v>50206</v>
      </c>
      <c r="B514" s="934" t="s">
        <v>1099</v>
      </c>
      <c r="C514" s="937">
        <f>+'[15]Input Sheet'!Q750</f>
        <v>1040.9749773000001</v>
      </c>
      <c r="D514" s="852"/>
      <c r="E514" s="911">
        <v>1036.9997295000001</v>
      </c>
      <c r="J514" s="243"/>
    </row>
    <row r="515" spans="1:13" x14ac:dyDescent="0.2">
      <c r="A515" s="956">
        <v>51501</v>
      </c>
      <c r="B515" s="934" t="s">
        <v>1100</v>
      </c>
      <c r="C515" s="935">
        <f>+'[15]Input Sheet'!Q759</f>
        <v>0</v>
      </c>
      <c r="D515" s="852"/>
      <c r="E515" s="911">
        <v>0</v>
      </c>
      <c r="J515" s="243"/>
    </row>
    <row r="516" spans="1:13" x14ac:dyDescent="0.2">
      <c r="A516" s="842">
        <v>51506</v>
      </c>
      <c r="B516" s="934" t="s">
        <v>1101</v>
      </c>
      <c r="C516" s="935">
        <f>+'[15]Input Sheet'!Q764</f>
        <v>0</v>
      </c>
      <c r="D516" s="852">
        <f>SUM(C509:C516)</f>
        <v>7869.8810499270003</v>
      </c>
      <c r="E516" s="911">
        <v>0</v>
      </c>
      <c r="F516" s="852">
        <f>SUM(E509:E516)</f>
        <v>7821.5152962630009</v>
      </c>
      <c r="J516" s="243"/>
    </row>
    <row r="517" spans="1:13" x14ac:dyDescent="0.2">
      <c r="A517" s="956">
        <v>24021</v>
      </c>
      <c r="B517" s="934" t="s">
        <v>1102</v>
      </c>
      <c r="C517" s="937">
        <f>+'[15]Input Sheet'!Q143</f>
        <v>-3.8269318969999997</v>
      </c>
      <c r="D517" s="852"/>
      <c r="E517" s="911">
        <v>-3.8269318969999997</v>
      </c>
      <c r="G517" s="836">
        <v>0.48937720299999998</v>
      </c>
      <c r="J517" s="243"/>
    </row>
    <row r="518" spans="1:13" x14ac:dyDescent="0.2">
      <c r="A518" s="956">
        <v>24022</v>
      </c>
      <c r="B518" s="934" t="s">
        <v>1103</v>
      </c>
      <c r="C518" s="937">
        <f>+'[15]Input Sheet'!Q144</f>
        <v>3.6890032439999998</v>
      </c>
      <c r="D518" s="852"/>
      <c r="E518" s="911">
        <v>3.8184885950000003</v>
      </c>
      <c r="G518" s="836">
        <v>-0.70224115799999998</v>
      </c>
      <c r="J518" s="243"/>
    </row>
    <row r="519" spans="1:13" x14ac:dyDescent="0.2">
      <c r="A519" s="956">
        <v>24041</v>
      </c>
      <c r="B519" s="934" t="s">
        <v>1104</v>
      </c>
      <c r="C519" s="937">
        <f>+'[15]Input Sheet'!Q155</f>
        <v>-5.9287999999999999E-5</v>
      </c>
      <c r="D519" s="852"/>
      <c r="E519" s="911">
        <v>-5.9287999999999999E-5</v>
      </c>
      <c r="G519" s="836">
        <v>-5.9287999999999999E-5</v>
      </c>
      <c r="J519" s="243"/>
    </row>
    <row r="520" spans="1:13" x14ac:dyDescent="0.2">
      <c r="A520" s="956">
        <v>24042</v>
      </c>
      <c r="B520" s="934" t="s">
        <v>1105</v>
      </c>
      <c r="C520" s="937">
        <f>+'[15]Input Sheet'!Q156</f>
        <v>-9.3992329999999999E-3</v>
      </c>
      <c r="D520" s="852"/>
      <c r="E520" s="911">
        <v>583.95762063900008</v>
      </c>
      <c r="G520" s="836">
        <v>-0.19291103500000001</v>
      </c>
      <c r="J520" s="243"/>
      <c r="K520" s="243"/>
      <c r="L520" s="243"/>
      <c r="M520" s="243"/>
    </row>
    <row r="521" spans="1:13" x14ac:dyDescent="0.2">
      <c r="A521" s="956">
        <v>24061</v>
      </c>
      <c r="B521" s="934" t="s">
        <v>1106</v>
      </c>
      <c r="C521" s="937">
        <f>+'[15]Input Sheet'!Q159</f>
        <v>29.491588554000003</v>
      </c>
      <c r="D521" s="852"/>
      <c r="E521" s="911">
        <v>29.491588554000003</v>
      </c>
      <c r="G521" s="836">
        <v>29.491588554000003</v>
      </c>
      <c r="J521" s="243"/>
      <c r="K521" s="243"/>
      <c r="L521" s="243"/>
      <c r="M521" s="243"/>
    </row>
    <row r="522" spans="1:13" x14ac:dyDescent="0.2">
      <c r="A522" s="956">
        <v>24062</v>
      </c>
      <c r="B522" s="934" t="s">
        <v>1107</v>
      </c>
      <c r="C522" s="937">
        <f>+'[15]Input Sheet'!Q160</f>
        <v>-6.8331231810000004</v>
      </c>
      <c r="D522" s="852"/>
      <c r="E522" s="911">
        <v>-14.548362383000001</v>
      </c>
      <c r="G522" s="836">
        <v>-28.704782158999997</v>
      </c>
      <c r="J522" s="243"/>
      <c r="K522" s="243"/>
      <c r="L522" s="243"/>
      <c r="M522" s="243"/>
    </row>
    <row r="523" spans="1:13" x14ac:dyDescent="0.2">
      <c r="A523" s="956">
        <v>24126</v>
      </c>
      <c r="B523" s="934" t="str">
        <f>'[15]Input Sheet'!E181</f>
        <v>Main-SBI9E-8427-WM</v>
      </c>
      <c r="C523" s="937">
        <f>'[15]Input Sheet'!Q181</f>
        <v>0</v>
      </c>
      <c r="D523" s="852"/>
      <c r="E523" s="911">
        <v>0</v>
      </c>
      <c r="G523" s="836">
        <v>0</v>
      </c>
      <c r="J523" s="243"/>
      <c r="K523" s="243"/>
      <c r="L523" s="243"/>
      <c r="M523" s="243"/>
    </row>
    <row r="524" spans="1:13" x14ac:dyDescent="0.2">
      <c r="A524" s="956">
        <v>24127</v>
      </c>
      <c r="B524" s="934" t="str">
        <f>'[15]Input Sheet'!E182</f>
        <v>Op-SBI9E-8427-WM</v>
      </c>
      <c r="C524" s="937">
        <f>'[15]Input Sheet'!Q182</f>
        <v>1.060801968</v>
      </c>
      <c r="D524" s="852"/>
      <c r="E524" s="911">
        <v>0.264445608</v>
      </c>
      <c r="G524" s="836">
        <v>1.4173910380000001</v>
      </c>
      <c r="J524" s="243"/>
      <c r="K524" s="243"/>
      <c r="L524" s="243"/>
      <c r="M524" s="243"/>
    </row>
    <row r="525" spans="1:13" x14ac:dyDescent="0.2">
      <c r="A525" s="956">
        <v>24128</v>
      </c>
      <c r="B525" s="934" t="str">
        <f>'[15]Input Sheet'!E183</f>
        <v>Main-SBI9F-2465-WM</v>
      </c>
      <c r="C525" s="937">
        <f>'[15]Input Sheet'!Q183</f>
        <v>0</v>
      </c>
      <c r="D525" s="852"/>
      <c r="E525" s="911">
        <v>0</v>
      </c>
      <c r="G525" s="836">
        <v>0</v>
      </c>
      <c r="J525" s="243"/>
      <c r="K525" s="243"/>
      <c r="L525" s="243"/>
      <c r="M525" s="243"/>
    </row>
    <row r="526" spans="1:13" x14ac:dyDescent="0.2">
      <c r="A526" s="956">
        <v>24129</v>
      </c>
      <c r="B526" s="934" t="str">
        <f>'[15]Input Sheet'!E184</f>
        <v>Op-SBI9F-2465-WM</v>
      </c>
      <c r="C526" s="937">
        <f>'[15]Input Sheet'!Q184</f>
        <v>13.113797651</v>
      </c>
      <c r="D526" s="852"/>
      <c r="E526" s="911">
        <v>9.6951829510000014</v>
      </c>
      <c r="G526" s="836">
        <v>6.9524773709999996</v>
      </c>
      <c r="J526" s="243"/>
      <c r="K526" s="243"/>
      <c r="L526" s="243"/>
      <c r="M526" s="243"/>
    </row>
    <row r="527" spans="1:13" x14ac:dyDescent="0.2">
      <c r="A527" s="956">
        <v>24136</v>
      </c>
      <c r="B527" s="934" t="str">
        <f>'[15]Input Sheet'!E189</f>
        <v>Main-SBI9H-1663-WM_freight pyt to East Coast Rly</v>
      </c>
      <c r="C527" s="937">
        <f>'[15]Input Sheet'!Q189</f>
        <v>0</v>
      </c>
      <c r="D527" s="852"/>
      <c r="E527" s="911">
        <v>0</v>
      </c>
      <c r="G527" s="836">
        <v>0</v>
      </c>
      <c r="J527" s="243"/>
      <c r="K527" s="243"/>
      <c r="L527" s="243"/>
      <c r="M527" s="243"/>
    </row>
    <row r="528" spans="1:13" x14ac:dyDescent="0.2">
      <c r="A528" s="956">
        <v>24137</v>
      </c>
      <c r="B528" s="934" t="str">
        <f>'[15]Input Sheet'!E190</f>
        <v>Op-SBI9H-1663-WM_freight pyt to East Co</v>
      </c>
      <c r="C528" s="937">
        <f>'[15]Input Sheet'!Q190</f>
        <v>-1.2201471E-2</v>
      </c>
      <c r="D528" s="852"/>
      <c r="E528" s="911">
        <v>-3.1658709999999998E-3</v>
      </c>
      <c r="G528" s="836">
        <v>-3.2307709999999999E-3</v>
      </c>
      <c r="J528" s="243"/>
      <c r="K528" s="243"/>
      <c r="L528" s="243"/>
      <c r="M528" s="243"/>
    </row>
    <row r="529" spans="1:13" x14ac:dyDescent="0.2">
      <c r="A529" s="956">
        <v>24138</v>
      </c>
      <c r="B529" s="934"/>
      <c r="C529" s="935"/>
      <c r="D529" s="852"/>
      <c r="J529" s="243"/>
      <c r="K529" s="243"/>
      <c r="L529" s="243"/>
      <c r="M529" s="243"/>
    </row>
    <row r="530" spans="1:13" x14ac:dyDescent="0.2">
      <c r="A530" s="956">
        <v>24139</v>
      </c>
      <c r="B530" s="934" t="str">
        <f>'[15]Input Sheet'!E191</f>
        <v>Op-SBI9I-1081-WM- e-freight payment to</v>
      </c>
      <c r="C530" s="935">
        <f>'[15]Input Sheet'!Q191</f>
        <v>-0.48711518200000004</v>
      </c>
      <c r="D530" s="852">
        <f>IF(SUM(C517:C530)&gt;0,SUM(C517:C530),0)</f>
        <v>36.186361165000008</v>
      </c>
      <c r="E530" s="911">
        <v>-3.6665582000000002E-2</v>
      </c>
      <c r="F530" s="852">
        <f>SUM(E517:E530)</f>
        <v>608.81214132600007</v>
      </c>
      <c r="G530" s="836">
        <v>-5.0881999999999998E-5</v>
      </c>
      <c r="J530" s="243"/>
      <c r="K530" s="243"/>
      <c r="L530" s="243"/>
      <c r="M530" s="243"/>
    </row>
    <row r="531" spans="1:13" x14ac:dyDescent="0.2">
      <c r="A531" s="1027"/>
      <c r="B531" s="1028" t="s">
        <v>1108</v>
      </c>
      <c r="C531" s="903">
        <f>++IF(D1154&lt;0, -D1154,0)</f>
        <v>0</v>
      </c>
      <c r="D531" s="900"/>
      <c r="E531" s="911">
        <v>0</v>
      </c>
      <c r="G531" s="836">
        <v>0</v>
      </c>
      <c r="J531" s="243"/>
      <c r="K531" s="243"/>
      <c r="L531" s="243"/>
      <c r="M531" s="243"/>
    </row>
    <row r="532" spans="1:13" x14ac:dyDescent="0.2">
      <c r="A532" s="956"/>
      <c r="B532" s="944" t="s">
        <v>7</v>
      </c>
      <c r="C532" s="888">
        <f>SUM(C509:C531)</f>
        <v>7906.0674110920017</v>
      </c>
      <c r="D532" s="852">
        <f>D516+D530</f>
        <v>7906.0674110919999</v>
      </c>
      <c r="E532" s="888">
        <f>SUM(E509:E531)</f>
        <v>8430.3274375890014</v>
      </c>
      <c r="F532" s="852">
        <f>F516+F530</f>
        <v>8430.3274375890014</v>
      </c>
      <c r="J532" s="243"/>
      <c r="K532" s="243"/>
      <c r="L532" s="243"/>
      <c r="M532" s="243"/>
    </row>
    <row r="533" spans="1:13" x14ac:dyDescent="0.2">
      <c r="A533" s="956"/>
      <c r="B533" s="909"/>
      <c r="C533" s="917"/>
      <c r="D533" s="852"/>
      <c r="J533" s="243"/>
      <c r="K533" s="243"/>
      <c r="L533" s="243"/>
      <c r="M533" s="243"/>
    </row>
    <row r="534" spans="1:13" x14ac:dyDescent="0.2">
      <c r="A534" s="956"/>
      <c r="B534" s="936" t="s">
        <v>1091</v>
      </c>
      <c r="C534" s="937"/>
      <c r="D534" s="852"/>
      <c r="J534" s="243"/>
      <c r="K534" s="243"/>
      <c r="L534" s="243"/>
      <c r="M534" s="243"/>
    </row>
    <row r="535" spans="1:13" x14ac:dyDescent="0.2">
      <c r="A535" s="956"/>
      <c r="B535" s="936" t="s">
        <v>631</v>
      </c>
      <c r="C535" s="937"/>
      <c r="D535" s="852"/>
      <c r="J535" s="243"/>
      <c r="K535" s="243"/>
      <c r="L535" s="243"/>
      <c r="M535" s="243"/>
    </row>
    <row r="536" spans="1:13" x14ac:dyDescent="0.2">
      <c r="A536" s="956"/>
      <c r="B536" s="936" t="s">
        <v>1092</v>
      </c>
      <c r="C536" s="937"/>
      <c r="D536" s="852"/>
      <c r="J536" s="243"/>
      <c r="K536" s="243"/>
      <c r="L536" s="243"/>
      <c r="M536" s="243"/>
    </row>
    <row r="537" spans="1:13" x14ac:dyDescent="0.2">
      <c r="A537" s="956"/>
      <c r="B537" s="944" t="s">
        <v>1109</v>
      </c>
      <c r="C537" s="917"/>
      <c r="D537" s="852"/>
      <c r="J537" s="243"/>
      <c r="K537" s="243"/>
      <c r="L537" s="243"/>
      <c r="M537" s="243"/>
    </row>
    <row r="538" spans="1:13" x14ac:dyDescent="0.2">
      <c r="A538" s="956">
        <v>50001</v>
      </c>
      <c r="B538" s="934" t="s">
        <v>1110</v>
      </c>
      <c r="C538" s="935">
        <f>+'[15]Input Sheet'!Q727</f>
        <v>0</v>
      </c>
      <c r="D538" s="852"/>
      <c r="E538" s="911">
        <v>0</v>
      </c>
      <c r="J538" s="243"/>
      <c r="K538" s="243"/>
      <c r="L538" s="243"/>
      <c r="M538" s="243"/>
    </row>
    <row r="539" spans="1:13" x14ac:dyDescent="0.2">
      <c r="A539" s="956">
        <v>50002</v>
      </c>
      <c r="B539" s="934" t="s">
        <v>1111</v>
      </c>
      <c r="C539" s="937">
        <f>+'[15]Input Sheet'!Q728</f>
        <v>412.49298629999998</v>
      </c>
      <c r="D539" s="852"/>
      <c r="E539" s="911">
        <v>687.49966649999999</v>
      </c>
      <c r="J539" s="243"/>
      <c r="K539" s="243"/>
      <c r="L539" s="243"/>
      <c r="M539" s="243"/>
    </row>
    <row r="540" spans="1:13" x14ac:dyDescent="0.2">
      <c r="A540" s="956"/>
      <c r="B540" s="934"/>
      <c r="C540" s="935"/>
      <c r="D540" s="852"/>
      <c r="J540" s="243"/>
      <c r="K540" s="243"/>
      <c r="L540" s="243"/>
      <c r="M540" s="243"/>
    </row>
    <row r="541" spans="1:13" x14ac:dyDescent="0.2">
      <c r="A541" s="956">
        <v>50004</v>
      </c>
      <c r="B541" s="934" t="s">
        <v>1112</v>
      </c>
      <c r="C541" s="935">
        <f>+'[15]Input Sheet'!Q730</f>
        <v>0</v>
      </c>
      <c r="D541" s="852"/>
      <c r="E541" s="911">
        <v>0</v>
      </c>
      <c r="J541" s="1026"/>
      <c r="K541" s="243"/>
      <c r="L541" s="243"/>
      <c r="M541" s="243"/>
    </row>
    <row r="542" spans="1:13" x14ac:dyDescent="0.2">
      <c r="A542" s="956">
        <v>50005</v>
      </c>
      <c r="B542" s="934" t="s">
        <v>1113</v>
      </c>
      <c r="C542" s="935">
        <f>+'[15]Input Sheet'!Q731</f>
        <v>0</v>
      </c>
      <c r="D542" s="852"/>
      <c r="E542" s="911">
        <v>0</v>
      </c>
      <c r="J542" s="243"/>
      <c r="K542" s="243"/>
      <c r="L542" s="243"/>
      <c r="M542" s="243"/>
    </row>
    <row r="543" spans="1:13" x14ac:dyDescent="0.2">
      <c r="A543" s="956">
        <v>50006</v>
      </c>
      <c r="B543" s="934" t="s">
        <v>1114</v>
      </c>
      <c r="C543" s="935">
        <f>+'[15]Input Sheet'!Q732</f>
        <v>0</v>
      </c>
      <c r="D543" s="852"/>
      <c r="E543" s="911">
        <v>0</v>
      </c>
      <c r="J543" s="243"/>
      <c r="K543" s="243"/>
      <c r="L543" s="243"/>
      <c r="M543" s="243"/>
    </row>
    <row r="544" spans="1:13" x14ac:dyDescent="0.2">
      <c r="A544" s="956">
        <v>50008</v>
      </c>
      <c r="B544" s="934" t="s">
        <v>1115</v>
      </c>
      <c r="C544" s="937">
        <f>+'[15]Input Sheet'!Q734</f>
        <v>3007.3649362000001</v>
      </c>
      <c r="D544" s="852"/>
      <c r="E544" s="911">
        <v>3525.3710953999998</v>
      </c>
      <c r="J544" s="243"/>
      <c r="K544" s="243"/>
      <c r="L544" s="243"/>
      <c r="M544" s="243"/>
    </row>
    <row r="545" spans="1:13" x14ac:dyDescent="0.2">
      <c r="A545" s="956">
        <v>50009</v>
      </c>
      <c r="B545" s="934" t="s">
        <v>1116</v>
      </c>
      <c r="C545" s="935">
        <f>+'[15]Input Sheet'!Q735</f>
        <v>0</v>
      </c>
      <c r="D545" s="852"/>
      <c r="E545" s="911">
        <v>0</v>
      </c>
      <c r="J545" s="243"/>
      <c r="K545" s="243"/>
      <c r="L545" s="243"/>
      <c r="M545" s="243"/>
    </row>
    <row r="546" spans="1:13" x14ac:dyDescent="0.2">
      <c r="A546" s="956">
        <v>50010</v>
      </c>
      <c r="B546" s="934" t="s">
        <v>1117</v>
      </c>
      <c r="C546" s="935">
        <f>+'[15]Input Sheet'!Q736</f>
        <v>0</v>
      </c>
      <c r="D546" s="852"/>
      <c r="E546" s="911">
        <v>0</v>
      </c>
      <c r="J546" s="243"/>
      <c r="K546" s="243"/>
      <c r="L546" s="243"/>
      <c r="M546" s="243"/>
    </row>
    <row r="547" spans="1:13" x14ac:dyDescent="0.2">
      <c r="A547" s="956">
        <v>50011</v>
      </c>
      <c r="B547" s="934" t="s">
        <v>1118</v>
      </c>
      <c r="C547" s="935">
        <f>+'[15]Input Sheet'!Q737</f>
        <v>0</v>
      </c>
      <c r="D547" s="852"/>
      <c r="E547" s="911">
        <v>0</v>
      </c>
      <c r="J547" s="243"/>
      <c r="K547" s="243"/>
      <c r="L547" s="243"/>
      <c r="M547" s="243"/>
    </row>
    <row r="548" spans="1:13" x14ac:dyDescent="0.2">
      <c r="A548" s="842">
        <v>50014</v>
      </c>
      <c r="B548" s="934" t="s">
        <v>1119</v>
      </c>
      <c r="C548" s="935">
        <f>+'[15]Input Sheet'!Q740</f>
        <v>0</v>
      </c>
      <c r="D548" s="852"/>
      <c r="E548" s="911">
        <v>0</v>
      </c>
      <c r="J548" s="243"/>
      <c r="K548" s="243"/>
      <c r="L548" s="243"/>
      <c r="M548" s="243"/>
    </row>
    <row r="549" spans="1:13" x14ac:dyDescent="0.2">
      <c r="A549" s="842"/>
      <c r="B549" s="934"/>
      <c r="C549" s="935"/>
      <c r="D549" s="852"/>
      <c r="J549" s="243"/>
      <c r="K549" s="243"/>
      <c r="L549" s="243"/>
      <c r="M549" s="243"/>
    </row>
    <row r="550" spans="1:13" x14ac:dyDescent="0.2">
      <c r="A550" s="842">
        <v>50016</v>
      </c>
      <c r="B550" s="934" t="s">
        <v>1120</v>
      </c>
      <c r="C550" s="935">
        <f>+'[15]Input Sheet'!Q742</f>
        <v>0</v>
      </c>
      <c r="D550" s="852"/>
      <c r="E550" s="911">
        <v>0</v>
      </c>
      <c r="J550" s="243"/>
      <c r="K550" s="243"/>
      <c r="L550" s="243"/>
      <c r="M550" s="243"/>
    </row>
    <row r="551" spans="1:13" x14ac:dyDescent="0.2">
      <c r="A551" s="842"/>
      <c r="B551" s="934"/>
      <c r="C551" s="935"/>
      <c r="D551" s="852"/>
      <c r="J551" s="243"/>
      <c r="K551" s="243"/>
      <c r="L551" s="243"/>
      <c r="M551" s="243"/>
    </row>
    <row r="552" spans="1:13" x14ac:dyDescent="0.2">
      <c r="A552" s="842"/>
      <c r="B552" s="934"/>
      <c r="C552" s="935"/>
      <c r="D552" s="900"/>
      <c r="J552" s="243"/>
      <c r="K552" s="243"/>
      <c r="L552" s="243"/>
      <c r="M552" s="243"/>
    </row>
    <row r="553" spans="1:13" x14ac:dyDescent="0.2">
      <c r="A553" s="956"/>
      <c r="B553" s="944" t="s">
        <v>7</v>
      </c>
      <c r="C553" s="888">
        <f>SUM(C538:C551)</f>
        <v>3419.8579225000003</v>
      </c>
      <c r="D553" s="852">
        <f>SUM(C538:C551)</f>
        <v>3419.8579225000003</v>
      </c>
      <c r="E553" s="888">
        <f>SUM(E538:E551)</f>
        <v>4212.8707618999997</v>
      </c>
      <c r="F553" s="852">
        <f>SUM(E538:E551)</f>
        <v>4212.8707618999997</v>
      </c>
      <c r="J553" s="243"/>
      <c r="K553" s="243"/>
      <c r="L553" s="243"/>
      <c r="M553" s="243"/>
    </row>
    <row r="554" spans="1:13" ht="25.5" x14ac:dyDescent="0.2">
      <c r="A554" s="956"/>
      <c r="B554" s="1029" t="s">
        <v>1121</v>
      </c>
      <c r="C554" s="898"/>
      <c r="D554" s="861">
        <f>+'[15]LT Final'!E29+'[15]LT Final'!E34</f>
        <v>2930.4689049626008</v>
      </c>
      <c r="F554" s="911">
        <v>3008.6983286605678</v>
      </c>
      <c r="K554" s="243"/>
      <c r="L554" s="243"/>
      <c r="M554" s="243"/>
    </row>
    <row r="555" spans="1:13" x14ac:dyDescent="0.2">
      <c r="A555" s="956"/>
      <c r="B555" s="1029"/>
      <c r="C555" s="898"/>
      <c r="D555" s="861"/>
      <c r="K555" s="243"/>
      <c r="L555" s="243"/>
      <c r="M555" s="243"/>
    </row>
    <row r="556" spans="1:13" x14ac:dyDescent="0.2">
      <c r="A556" s="956"/>
      <c r="B556" s="944" t="s">
        <v>1122</v>
      </c>
      <c r="C556" s="917"/>
      <c r="D556" s="852"/>
      <c r="J556" s="243"/>
      <c r="K556" s="243"/>
      <c r="L556" s="243"/>
      <c r="M556" s="243"/>
    </row>
    <row r="557" spans="1:13" x14ac:dyDescent="0.2">
      <c r="A557" s="956"/>
      <c r="B557" s="934" t="s">
        <v>1123</v>
      </c>
      <c r="C557" s="935"/>
      <c r="D557" s="852"/>
      <c r="K557" s="243"/>
      <c r="L557" s="243"/>
      <c r="M557" s="243"/>
    </row>
    <row r="558" spans="1:13" x14ac:dyDescent="0.2">
      <c r="A558" s="956"/>
      <c r="B558" s="934"/>
      <c r="C558" s="935"/>
      <c r="D558" s="852"/>
      <c r="E558" s="911">
        <v>0</v>
      </c>
      <c r="K558" s="243"/>
      <c r="L558" s="243"/>
      <c r="M558" s="243"/>
    </row>
    <row r="559" spans="1:13" x14ac:dyDescent="0.2">
      <c r="A559" s="956">
        <v>50012</v>
      </c>
      <c r="B559" s="934" t="s">
        <v>1124</v>
      </c>
      <c r="C559" s="935">
        <f>+'[15]Input Sheet'!Q738</f>
        <v>0</v>
      </c>
      <c r="D559" s="852"/>
      <c r="E559" s="911">
        <v>0</v>
      </c>
      <c r="K559" s="243"/>
      <c r="L559" s="243"/>
      <c r="M559" s="243"/>
    </row>
    <row r="560" spans="1:13" x14ac:dyDescent="0.2">
      <c r="A560" s="956">
        <v>50013</v>
      </c>
      <c r="B560" s="934" t="s">
        <v>1125</v>
      </c>
      <c r="C560" s="935">
        <f>+'[15]Input Sheet'!Q739</f>
        <v>0</v>
      </c>
      <c r="D560" s="852"/>
      <c r="E560" s="911">
        <v>0</v>
      </c>
      <c r="K560" s="243"/>
      <c r="L560" s="243"/>
      <c r="M560" s="243"/>
    </row>
    <row r="561" spans="1:13" x14ac:dyDescent="0.2">
      <c r="A561" s="842">
        <v>50015</v>
      </c>
      <c r="B561" s="934" t="s">
        <v>1126</v>
      </c>
      <c r="C561" s="935">
        <f>+'[15]Input Sheet'!Q741</f>
        <v>37.499997899999997</v>
      </c>
      <c r="D561" s="852"/>
      <c r="E561" s="911">
        <v>137.49999869999999</v>
      </c>
      <c r="K561" s="243"/>
      <c r="L561" s="243"/>
      <c r="M561" s="243"/>
    </row>
    <row r="562" spans="1:13" x14ac:dyDescent="0.2">
      <c r="A562" s="842">
        <v>50017</v>
      </c>
      <c r="B562" s="934" t="s">
        <v>1127</v>
      </c>
      <c r="C562" s="935">
        <f>+'[15]Input Sheet'!Q743</f>
        <v>1750.0000001000001</v>
      </c>
      <c r="D562" s="852"/>
      <c r="E562" s="911">
        <v>1483.3333332</v>
      </c>
      <c r="K562" s="243"/>
      <c r="L562" s="243"/>
      <c r="M562" s="243"/>
    </row>
    <row r="563" spans="1:13" x14ac:dyDescent="0.2">
      <c r="A563" s="956">
        <v>50018</v>
      </c>
      <c r="B563" s="934" t="s">
        <v>1128</v>
      </c>
      <c r="C563" s="935">
        <f>'[15]Input Sheet'!Q744</f>
        <v>0</v>
      </c>
      <c r="D563" s="852"/>
      <c r="E563" s="911">
        <v>0</v>
      </c>
      <c r="K563" s="243"/>
      <c r="L563" s="243"/>
      <c r="M563" s="243"/>
    </row>
    <row r="564" spans="1:13" x14ac:dyDescent="0.2">
      <c r="A564" s="956">
        <v>51001</v>
      </c>
      <c r="B564" s="934" t="s">
        <v>1129</v>
      </c>
      <c r="C564" s="935">
        <f>+'[15]Input Sheet'!Q751</f>
        <v>0</v>
      </c>
      <c r="D564" s="852"/>
      <c r="E564" s="911">
        <v>0</v>
      </c>
      <c r="K564" s="243"/>
      <c r="L564" s="243"/>
      <c r="M564" s="243"/>
    </row>
    <row r="565" spans="1:13" x14ac:dyDescent="0.2">
      <c r="A565" s="956">
        <v>51002</v>
      </c>
      <c r="B565" s="934" t="s">
        <v>1130</v>
      </c>
      <c r="C565" s="935">
        <f>+'[15]Input Sheet'!Q752</f>
        <v>0</v>
      </c>
      <c r="D565" s="852"/>
      <c r="E565" s="911">
        <v>0</v>
      </c>
      <c r="K565" s="243"/>
      <c r="L565" s="243"/>
      <c r="M565" s="243"/>
    </row>
    <row r="566" spans="1:13" x14ac:dyDescent="0.2">
      <c r="A566" s="956">
        <v>51003</v>
      </c>
      <c r="B566" s="934" t="s">
        <v>1131</v>
      </c>
      <c r="C566" s="935">
        <f>+'[15]Input Sheet'!Q753</f>
        <v>0</v>
      </c>
      <c r="D566" s="852"/>
      <c r="E566" s="911">
        <v>0</v>
      </c>
      <c r="K566" s="243"/>
      <c r="L566" s="243"/>
      <c r="M566" s="243"/>
    </row>
    <row r="567" spans="1:13" x14ac:dyDescent="0.2">
      <c r="A567" s="956">
        <v>51004</v>
      </c>
      <c r="B567" s="934" t="s">
        <v>1132</v>
      </c>
      <c r="C567" s="935">
        <f>+'[15]Input Sheet'!Q754</f>
        <v>0</v>
      </c>
      <c r="D567" s="852"/>
      <c r="E567" s="911">
        <v>0</v>
      </c>
      <c r="K567" s="243"/>
      <c r="L567" s="243"/>
      <c r="M567" s="243"/>
    </row>
    <row r="568" spans="1:13" ht="25.5" x14ac:dyDescent="0.2">
      <c r="A568" s="956">
        <v>51005</v>
      </c>
      <c r="B568" s="939" t="s">
        <v>1133</v>
      </c>
      <c r="C568" s="896">
        <f>+'[15]Input Sheet'!Q755</f>
        <v>0</v>
      </c>
      <c r="D568" s="852"/>
      <c r="E568" s="911">
        <v>0</v>
      </c>
      <c r="M568" s="243"/>
    </row>
    <row r="569" spans="1:13" ht="25.5" x14ac:dyDescent="0.2">
      <c r="A569" s="956">
        <v>51006</v>
      </c>
      <c r="B569" s="939" t="s">
        <v>1134</v>
      </c>
      <c r="C569" s="896">
        <f>+'[15]Input Sheet'!Q756</f>
        <v>0</v>
      </c>
      <c r="D569" s="852"/>
      <c r="E569" s="911">
        <v>0</v>
      </c>
      <c r="M569" s="243"/>
    </row>
    <row r="570" spans="1:13" x14ac:dyDescent="0.2">
      <c r="A570" s="956">
        <v>51007</v>
      </c>
      <c r="B570" s="939" t="s">
        <v>1135</v>
      </c>
      <c r="C570" s="896">
        <f>+'[15]Input Sheet'!Q757</f>
        <v>0</v>
      </c>
      <c r="D570" s="852"/>
      <c r="E570" s="911">
        <v>0</v>
      </c>
      <c r="M570" s="243"/>
    </row>
    <row r="571" spans="1:13" x14ac:dyDescent="0.2">
      <c r="A571" s="956">
        <v>51008</v>
      </c>
      <c r="B571" s="934" t="s">
        <v>1136</v>
      </c>
      <c r="C571" s="935">
        <f>+'[15]Input Sheet'!Q758</f>
        <v>0</v>
      </c>
      <c r="D571" s="852"/>
      <c r="E571" s="911">
        <v>0</v>
      </c>
      <c r="M571" s="243"/>
    </row>
    <row r="572" spans="1:13" x14ac:dyDescent="0.2">
      <c r="A572" s="842">
        <v>51502</v>
      </c>
      <c r="B572" s="934" t="s">
        <v>1137</v>
      </c>
      <c r="C572" s="935">
        <f>+'[15]Input Sheet'!Q760</f>
        <v>0</v>
      </c>
      <c r="D572" s="852"/>
      <c r="E572" s="911">
        <v>0</v>
      </c>
      <c r="M572" s="243"/>
    </row>
    <row r="573" spans="1:13" x14ac:dyDescent="0.2">
      <c r="A573" s="842">
        <v>51503</v>
      </c>
      <c r="B573" s="934" t="s">
        <v>1138</v>
      </c>
      <c r="C573" s="935">
        <f>+'[15]Input Sheet'!Q761</f>
        <v>0</v>
      </c>
      <c r="D573" s="852"/>
      <c r="E573" s="911">
        <v>0</v>
      </c>
      <c r="M573" s="243"/>
    </row>
    <row r="574" spans="1:13" x14ac:dyDescent="0.2">
      <c r="A574" s="842">
        <v>51504</v>
      </c>
      <c r="B574" s="934" t="s">
        <v>1139</v>
      </c>
      <c r="C574" s="935">
        <f>+'[15]Input Sheet'!Q762</f>
        <v>0</v>
      </c>
      <c r="D574" s="852"/>
      <c r="E574" s="911">
        <v>0</v>
      </c>
      <c r="M574" s="243"/>
    </row>
    <row r="575" spans="1:13" x14ac:dyDescent="0.2">
      <c r="A575" s="842">
        <v>51505</v>
      </c>
      <c r="B575" s="934" t="s">
        <v>1140</v>
      </c>
      <c r="C575" s="935">
        <f>+'[15]Input Sheet'!Q763</f>
        <v>0</v>
      </c>
      <c r="D575" s="852"/>
      <c r="E575" s="911">
        <v>0</v>
      </c>
      <c r="M575" s="243"/>
    </row>
    <row r="576" spans="1:13" x14ac:dyDescent="0.2">
      <c r="A576" s="956"/>
      <c r="B576" s="944" t="s">
        <v>7</v>
      </c>
      <c r="C576" s="888">
        <f>SUM(C558:C575)</f>
        <v>1787.499998</v>
      </c>
      <c r="D576" s="1030">
        <f>SUM(C558:C575)</f>
        <v>1787.499998</v>
      </c>
      <c r="E576" s="888">
        <f>SUM(E558:E575)</f>
        <v>1620.8333318999998</v>
      </c>
      <c r="F576" s="1030">
        <f>SUM(E558:E575)</f>
        <v>1620.8333318999998</v>
      </c>
      <c r="M576" s="243"/>
    </row>
    <row r="577" spans="1:13" x14ac:dyDescent="0.2">
      <c r="A577" s="1002"/>
      <c r="B577" s="1031" t="s">
        <v>7</v>
      </c>
      <c r="C577" s="1032"/>
      <c r="D577" s="1033">
        <f>D532+D553+D576+D554</f>
        <v>16043.894236554601</v>
      </c>
      <c r="F577" s="1033">
        <f>F532+F553+F576+F554</f>
        <v>17272.729860049567</v>
      </c>
      <c r="M577" s="243"/>
    </row>
    <row r="578" spans="1:13" x14ac:dyDescent="0.2">
      <c r="C578" s="927"/>
      <c r="D578" s="927"/>
      <c r="M578" s="243"/>
    </row>
    <row r="579" spans="1:13" x14ac:dyDescent="0.2">
      <c r="A579" s="992" t="s">
        <v>1141</v>
      </c>
      <c r="B579" s="936" t="s">
        <v>663</v>
      </c>
      <c r="C579" s="955"/>
      <c r="D579" s="852"/>
      <c r="M579" s="243"/>
    </row>
    <row r="580" spans="1:13" x14ac:dyDescent="0.2">
      <c r="A580" s="956">
        <v>46434</v>
      </c>
      <c r="B580" s="1000" t="s">
        <v>645</v>
      </c>
      <c r="C580" s="955">
        <f>'[15]Input Sheet'!Q663</f>
        <v>173.91196567135512</v>
      </c>
      <c r="D580" s="852"/>
      <c r="E580" s="911">
        <v>143.34015883641399</v>
      </c>
      <c r="M580" s="243"/>
    </row>
    <row r="581" spans="1:13" ht="13.5" thickBot="1" x14ac:dyDescent="0.25">
      <c r="A581" s="956"/>
      <c r="B581" s="1021"/>
      <c r="C581" s="1022">
        <f>C580</f>
        <v>173.91196567135512</v>
      </c>
      <c r="D581" s="916">
        <f>C580</f>
        <v>173.91196567135512</v>
      </c>
      <c r="F581" s="916">
        <f>E580</f>
        <v>143.34015883641399</v>
      </c>
      <c r="M581" s="243"/>
    </row>
    <row r="582" spans="1:13" ht="13.5" thickTop="1" x14ac:dyDescent="0.2">
      <c r="C582" s="927"/>
      <c r="D582" s="927"/>
      <c r="M582" s="243"/>
    </row>
    <row r="583" spans="1:13" x14ac:dyDescent="0.2">
      <c r="A583" s="1034" t="s">
        <v>367</v>
      </c>
      <c r="B583" s="1035" t="s">
        <v>665</v>
      </c>
      <c r="C583" s="946"/>
      <c r="D583" s="888"/>
      <c r="L583" s="862"/>
      <c r="M583" s="243"/>
    </row>
    <row r="584" spans="1:13" x14ac:dyDescent="0.2">
      <c r="A584" s="956"/>
      <c r="B584" s="936" t="s">
        <v>665</v>
      </c>
      <c r="C584" s="937"/>
      <c r="D584" s="852"/>
    </row>
    <row r="585" spans="1:13" ht="25.5" x14ac:dyDescent="0.2">
      <c r="A585" s="956"/>
      <c r="B585" s="1029" t="s">
        <v>666</v>
      </c>
      <c r="C585" s="898"/>
      <c r="D585" s="1036">
        <v>1.85664096065643</v>
      </c>
      <c r="F585" s="911">
        <v>1.00184668666744</v>
      </c>
    </row>
    <row r="586" spans="1:13" x14ac:dyDescent="0.2">
      <c r="A586" s="956"/>
      <c r="B586" s="944" t="s">
        <v>667</v>
      </c>
      <c r="C586" s="917"/>
      <c r="D586" s="852"/>
    </row>
    <row r="587" spans="1:13" ht="15" x14ac:dyDescent="0.2">
      <c r="A587" s="842">
        <v>99209</v>
      </c>
      <c r="B587" s="1037" t="s">
        <v>1014</v>
      </c>
      <c r="C587" s="935">
        <f>+IF('[15]Input Sheet'!Q1401&lt;0, -'[15]Input Sheet'!Q1401,0)</f>
        <v>0.47317987</v>
      </c>
      <c r="D587" s="852"/>
      <c r="E587" s="911">
        <v>20.432856769999997</v>
      </c>
    </row>
    <row r="588" spans="1:13" ht="15" x14ac:dyDescent="0.2">
      <c r="A588" s="842">
        <v>99211</v>
      </c>
      <c r="B588" s="1037" t="s">
        <v>1142</v>
      </c>
      <c r="C588" s="935">
        <f>+IF('[15]Input Sheet'!Q1402&lt;0, -'[15]Input Sheet'!Q1402,0)</f>
        <v>7.273627051000001</v>
      </c>
      <c r="D588" s="852"/>
    </row>
    <row r="589" spans="1:13" x14ac:dyDescent="0.2">
      <c r="A589" s="842">
        <v>99215</v>
      </c>
      <c r="B589" s="934" t="s">
        <v>1143</v>
      </c>
      <c r="C589" s="852">
        <f>'[15]Input Sheet'!Q1406</f>
        <v>3260.1665578110001</v>
      </c>
      <c r="D589" s="852"/>
      <c r="E589" s="911">
        <v>2256.725031815</v>
      </c>
    </row>
    <row r="590" spans="1:13" x14ac:dyDescent="0.2">
      <c r="A590" s="842">
        <v>99216</v>
      </c>
      <c r="B590" s="934" t="s">
        <v>1144</v>
      </c>
      <c r="C590" s="852">
        <f>'[15]Input Sheet'!Q1407</f>
        <v>-39.556321963000002</v>
      </c>
      <c r="D590" s="852"/>
      <c r="E590" s="911">
        <v>16.748457690000002</v>
      </c>
    </row>
    <row r="591" spans="1:13" x14ac:dyDescent="0.2">
      <c r="A591" s="842">
        <v>99217</v>
      </c>
      <c r="B591" s="934" t="s">
        <v>1145</v>
      </c>
      <c r="C591" s="852">
        <f>'[15]Input Sheet'!Q1408</f>
        <v>803.57114095400004</v>
      </c>
      <c r="D591" s="852"/>
      <c r="E591" s="911">
        <v>796.755554437</v>
      </c>
    </row>
    <row r="592" spans="1:13" x14ac:dyDescent="0.2">
      <c r="A592" s="842">
        <v>99218</v>
      </c>
      <c r="B592" s="934" t="s">
        <v>1146</v>
      </c>
      <c r="C592" s="852">
        <f>'[15]Input Sheet'!Q1409</f>
        <v>1.8482867359999999</v>
      </c>
      <c r="D592" s="852"/>
      <c r="E592" s="911">
        <v>42.831257956000002</v>
      </c>
    </row>
    <row r="593" spans="1:8" x14ac:dyDescent="0.2">
      <c r="A593" s="842">
        <v>99219</v>
      </c>
      <c r="B593" s="934" t="s">
        <v>1147</v>
      </c>
      <c r="C593" s="852">
        <f>'[15]Input Sheet'!Q1410</f>
        <v>0</v>
      </c>
      <c r="D593" s="852"/>
      <c r="E593" s="911">
        <v>0</v>
      </c>
    </row>
    <row r="594" spans="1:8" x14ac:dyDescent="0.2">
      <c r="A594" s="842">
        <v>99220</v>
      </c>
      <c r="B594" s="934" t="s">
        <v>1148</v>
      </c>
      <c r="C594" s="852">
        <f>'[15]Input Sheet'!Q1411</f>
        <v>0</v>
      </c>
      <c r="D594" s="852"/>
      <c r="E594" s="911">
        <v>0</v>
      </c>
    </row>
    <row r="595" spans="1:8" x14ac:dyDescent="0.2">
      <c r="A595" s="842">
        <v>99221</v>
      </c>
      <c r="B595" s="934" t="s">
        <v>1149</v>
      </c>
      <c r="C595" s="852">
        <f>'[15]Input Sheet'!Q1412</f>
        <v>56.875253700000002</v>
      </c>
      <c r="D595" s="852"/>
      <c r="E595" s="911">
        <v>36.204285900000002</v>
      </c>
    </row>
    <row r="596" spans="1:8" x14ac:dyDescent="0.2">
      <c r="A596" s="842">
        <v>99222</v>
      </c>
      <c r="B596" s="934" t="s">
        <v>1150</v>
      </c>
      <c r="C596" s="852">
        <f>'[15]Input Sheet'!Q1413</f>
        <v>0</v>
      </c>
      <c r="D596" s="852"/>
      <c r="E596" s="911">
        <v>0</v>
      </c>
    </row>
    <row r="597" spans="1:8" x14ac:dyDescent="0.2">
      <c r="A597" s="842">
        <v>99223</v>
      </c>
      <c r="B597" s="934" t="s">
        <v>1151</v>
      </c>
      <c r="C597" s="852">
        <f>'[15]Input Sheet'!Q1414</f>
        <v>0</v>
      </c>
      <c r="D597" s="852"/>
      <c r="E597" s="911">
        <v>0</v>
      </c>
    </row>
    <row r="598" spans="1:8" x14ac:dyDescent="0.2">
      <c r="A598" s="842">
        <v>99224</v>
      </c>
      <c r="B598" s="934" t="s">
        <v>1152</v>
      </c>
      <c r="C598" s="852">
        <f>'[15]Input Sheet'!Q1415</f>
        <v>0</v>
      </c>
      <c r="D598" s="852"/>
      <c r="E598" s="911">
        <v>0</v>
      </c>
    </row>
    <row r="599" spans="1:8" ht="20.25" customHeight="1" x14ac:dyDescent="0.2">
      <c r="A599" s="956">
        <v>99225</v>
      </c>
      <c r="B599" s="939" t="s">
        <v>1153</v>
      </c>
      <c r="C599" s="852">
        <f>+'[15]Input Sheet'!Q1416-D585-C679</f>
        <v>938.81483282634349</v>
      </c>
      <c r="D599" s="852"/>
      <c r="E599" s="927">
        <f>986.347831655-0.783015886667438</f>
        <v>985.56481576833266</v>
      </c>
      <c r="F599" s="927"/>
      <c r="G599" s="1038"/>
      <c r="H599" s="1038"/>
    </row>
    <row r="600" spans="1:8" x14ac:dyDescent="0.2">
      <c r="A600" s="842">
        <v>99226</v>
      </c>
      <c r="B600" s="934" t="s">
        <v>1154</v>
      </c>
      <c r="C600" s="852">
        <f>'[15]Input Sheet'!Q1417</f>
        <v>5.7136065199999999</v>
      </c>
      <c r="D600" s="852"/>
      <c r="E600" s="911">
        <v>5.7147700319999997</v>
      </c>
    </row>
    <row r="601" spans="1:8" x14ac:dyDescent="0.2">
      <c r="A601" s="842">
        <v>99227</v>
      </c>
      <c r="B601" s="934" t="s">
        <v>1155</v>
      </c>
      <c r="C601" s="852">
        <f>'[15]Input Sheet'!Q1418</f>
        <v>5.9160000000000003E-3</v>
      </c>
      <c r="D601" s="852"/>
      <c r="E601" s="911">
        <v>0</v>
      </c>
    </row>
    <row r="602" spans="1:8" x14ac:dyDescent="0.2">
      <c r="A602" s="956">
        <v>99228</v>
      </c>
      <c r="B602" s="934" t="s">
        <v>1156</v>
      </c>
      <c r="C602" s="852">
        <f>'[15]Input Sheet'!Q1419</f>
        <v>4.5589999999999997E-3</v>
      </c>
      <c r="D602" s="852"/>
      <c r="E602" s="911">
        <v>4.5589999999999997E-3</v>
      </c>
    </row>
    <row r="603" spans="1:8" x14ac:dyDescent="0.2">
      <c r="A603" s="956">
        <v>99231</v>
      </c>
      <c r="B603" s="934" t="s">
        <v>1157</v>
      </c>
      <c r="C603" s="852">
        <f>+'[15]Input Sheet'!Q1422-C676-C677-C678+G1437</f>
        <v>4080.9390723119996</v>
      </c>
      <c r="D603" s="852"/>
      <c r="E603" s="911">
        <v>3617.7442334809998</v>
      </c>
    </row>
    <row r="604" spans="1:8" x14ac:dyDescent="0.2">
      <c r="A604" s="956">
        <v>99235</v>
      </c>
      <c r="B604" s="934" t="s">
        <v>1158</v>
      </c>
      <c r="C604" s="852">
        <f>'[15]Input Sheet'!Q1426</f>
        <v>80.656645499999996</v>
      </c>
      <c r="D604" s="852"/>
      <c r="E604" s="911">
        <v>70.360702099999997</v>
      </c>
    </row>
    <row r="605" spans="1:8" x14ac:dyDescent="0.2">
      <c r="A605" s="956">
        <v>99236</v>
      </c>
      <c r="B605" s="1039" t="s">
        <v>1159</v>
      </c>
      <c r="C605" s="852">
        <f>++'[15]Input Sheet'!Q1427</f>
        <v>2.4977908200000001</v>
      </c>
      <c r="D605" s="852"/>
      <c r="E605" s="911">
        <v>0.79450841999999999</v>
      </c>
    </row>
    <row r="606" spans="1:8" ht="25.5" x14ac:dyDescent="0.2">
      <c r="A606" s="842">
        <v>40115</v>
      </c>
      <c r="B606" s="1039" t="s">
        <v>1160</v>
      </c>
      <c r="C606" s="852">
        <f>'[15]Input Sheet'!Q595</f>
        <v>0</v>
      </c>
      <c r="D606" s="852"/>
      <c r="E606" s="911">
        <v>-5.0000000000000001E-9</v>
      </c>
    </row>
    <row r="607" spans="1:8" x14ac:dyDescent="0.2">
      <c r="A607" s="842">
        <v>40240</v>
      </c>
      <c r="B607" s="934" t="s">
        <v>1161</v>
      </c>
      <c r="C607" s="852">
        <f>'[15]Input Sheet'!Q596</f>
        <v>0</v>
      </c>
      <c r="D607" s="852"/>
      <c r="E607" s="911">
        <v>0</v>
      </c>
    </row>
    <row r="608" spans="1:8" x14ac:dyDescent="0.2">
      <c r="A608" s="842">
        <v>40245</v>
      </c>
      <c r="B608" s="934" t="s">
        <v>1162</v>
      </c>
      <c r="C608" s="852">
        <f>'[15]Input Sheet'!Q597</f>
        <v>0.97982893000000004</v>
      </c>
      <c r="D608" s="852"/>
      <c r="E608" s="911">
        <v>0</v>
      </c>
    </row>
    <row r="609" spans="1:13" x14ac:dyDescent="0.2">
      <c r="A609" s="842">
        <v>40246</v>
      </c>
      <c r="B609" s="934" t="s">
        <v>1163</v>
      </c>
      <c r="C609" s="852">
        <f>'[15]Input Sheet'!Q598</f>
        <v>3.3500000000000002E-7</v>
      </c>
      <c r="D609" s="852"/>
      <c r="E609" s="911">
        <v>8.8239500000000012E-4</v>
      </c>
    </row>
    <row r="610" spans="1:13" x14ac:dyDescent="0.2">
      <c r="A610" s="842">
        <v>40247</v>
      </c>
      <c r="B610" s="934" t="s">
        <v>1164</v>
      </c>
      <c r="C610" s="852">
        <f>'[15]Input Sheet'!Q599</f>
        <v>0.48535332199999998</v>
      </c>
      <c r="D610" s="852"/>
      <c r="E610" s="911">
        <v>40.267268516000001</v>
      </c>
    </row>
    <row r="611" spans="1:13" x14ac:dyDescent="0.2">
      <c r="A611" s="842">
        <v>40248</v>
      </c>
      <c r="B611" s="934" t="s">
        <v>1165</v>
      </c>
      <c r="C611" s="852">
        <f>'[15]Input Sheet'!Q600</f>
        <v>0.131382676</v>
      </c>
      <c r="D611" s="852"/>
      <c r="E611" s="911">
        <v>0</v>
      </c>
    </row>
    <row r="612" spans="1:13" x14ac:dyDescent="0.2">
      <c r="A612" s="842">
        <v>40261</v>
      </c>
      <c r="B612" s="934" t="s">
        <v>1166</v>
      </c>
      <c r="C612" s="852">
        <f>'[15]Input Sheet'!Q601</f>
        <v>0</v>
      </c>
      <c r="D612" s="852"/>
    </row>
    <row r="613" spans="1:13" x14ac:dyDescent="0.2">
      <c r="A613" s="956">
        <v>40315</v>
      </c>
      <c r="B613" s="934" t="s">
        <v>1167</v>
      </c>
      <c r="C613" s="852">
        <f>'[15]Input Sheet'!Q602</f>
        <v>0</v>
      </c>
      <c r="D613" s="852"/>
      <c r="E613" s="911">
        <v>0</v>
      </c>
    </row>
    <row r="614" spans="1:13" x14ac:dyDescent="0.2">
      <c r="A614" s="842">
        <v>40421</v>
      </c>
      <c r="B614" s="934" t="s">
        <v>1168</v>
      </c>
      <c r="C614" s="852">
        <f>'[15]Input Sheet'!Q603</f>
        <v>4.2215931999999998E-2</v>
      </c>
      <c r="D614" s="852"/>
      <c r="E614" s="911">
        <v>0.113044748</v>
      </c>
    </row>
    <row r="615" spans="1:13" x14ac:dyDescent="0.2">
      <c r="A615" s="842">
        <v>40422</v>
      </c>
      <c r="B615" s="934" t="s">
        <v>1169</v>
      </c>
      <c r="C615" s="852">
        <f>'[15]Input Sheet'!Q604</f>
        <v>0</v>
      </c>
      <c r="D615" s="852"/>
      <c r="E615" s="911">
        <v>0</v>
      </c>
    </row>
    <row r="616" spans="1:13" x14ac:dyDescent="0.2">
      <c r="A616" s="842">
        <v>40423</v>
      </c>
      <c r="B616" s="934" t="s">
        <v>1170</v>
      </c>
      <c r="C616" s="852">
        <f>'[15]Input Sheet'!Q605</f>
        <v>0</v>
      </c>
      <c r="D616" s="852"/>
      <c r="E616" s="911">
        <v>1.0772083E-2</v>
      </c>
      <c r="F616" s="243"/>
      <c r="G616" s="243"/>
      <c r="H616" s="243"/>
      <c r="I616" s="243"/>
      <c r="J616" s="243"/>
      <c r="K616" s="243"/>
      <c r="L616" s="243"/>
      <c r="M616" s="243"/>
    </row>
    <row r="617" spans="1:13" x14ac:dyDescent="0.2">
      <c r="A617" s="842">
        <v>40424</v>
      </c>
      <c r="B617" s="934" t="s">
        <v>1171</v>
      </c>
      <c r="C617" s="852">
        <f>'[15]Input Sheet'!Q606</f>
        <v>0</v>
      </c>
      <c r="D617" s="852"/>
      <c r="E617" s="911">
        <v>0</v>
      </c>
      <c r="F617" s="243"/>
      <c r="G617" s="243"/>
      <c r="H617" s="243"/>
      <c r="I617" s="243"/>
      <c r="J617" s="243"/>
      <c r="K617" s="243"/>
      <c r="L617" s="243"/>
      <c r="M617" s="243"/>
    </row>
    <row r="618" spans="1:13" x14ac:dyDescent="0.2">
      <c r="A618" s="842">
        <v>40425</v>
      </c>
      <c r="B618" s="934" t="s">
        <v>1172</v>
      </c>
      <c r="C618" s="852">
        <f>'[15]Input Sheet'!Q607</f>
        <v>0.41969687500000002</v>
      </c>
      <c r="D618" s="852"/>
      <c r="E618" s="911">
        <v>1.3928632240000001</v>
      </c>
      <c r="F618" s="243"/>
      <c r="G618" s="243"/>
      <c r="H618" s="243"/>
      <c r="I618" s="243"/>
      <c r="J618" s="243"/>
      <c r="K618" s="243"/>
      <c r="L618" s="243"/>
      <c r="M618" s="243"/>
    </row>
    <row r="619" spans="1:13" x14ac:dyDescent="0.2">
      <c r="A619" s="842">
        <v>40426</v>
      </c>
      <c r="B619" s="934" t="s">
        <v>1173</v>
      </c>
      <c r="C619" s="852">
        <f>'[15]Input Sheet'!Q608</f>
        <v>0.55532680400000001</v>
      </c>
      <c r="D619" s="852"/>
      <c r="E619" s="911">
        <v>0.81766317699999991</v>
      </c>
      <c r="F619" s="243"/>
      <c r="G619" s="243"/>
      <c r="H619" s="243"/>
      <c r="I619" s="243"/>
      <c r="J619" s="243"/>
      <c r="K619" s="243"/>
      <c r="L619" s="243"/>
      <c r="M619" s="243"/>
    </row>
    <row r="620" spans="1:13" x14ac:dyDescent="0.2">
      <c r="A620" s="842">
        <v>40431</v>
      </c>
      <c r="B620" s="934" t="s">
        <v>1174</v>
      </c>
      <c r="C620" s="852">
        <f>'[15]Input Sheet'!Q609</f>
        <v>4.1249907810000002</v>
      </c>
      <c r="D620" s="852"/>
      <c r="E620" s="911">
        <v>3.7465772579999999</v>
      </c>
      <c r="F620" s="243"/>
      <c r="G620" s="243"/>
      <c r="H620" s="243"/>
      <c r="I620" s="243"/>
      <c r="J620" s="243"/>
      <c r="K620" s="243"/>
      <c r="L620" s="243"/>
      <c r="M620" s="243"/>
    </row>
    <row r="621" spans="1:13" x14ac:dyDescent="0.2">
      <c r="A621" s="842">
        <v>40521</v>
      </c>
      <c r="B621" s="934" t="s">
        <v>1175</v>
      </c>
      <c r="C621" s="852">
        <f>'[15]Input Sheet'!Q610</f>
        <v>0</v>
      </c>
      <c r="D621" s="852"/>
      <c r="E621" s="911">
        <v>0</v>
      </c>
      <c r="F621" s="243"/>
      <c r="G621" s="243"/>
      <c r="H621" s="243"/>
      <c r="I621" s="243"/>
      <c r="J621" s="243"/>
      <c r="K621" s="243"/>
      <c r="L621" s="243"/>
      <c r="M621" s="243"/>
    </row>
    <row r="622" spans="1:13" x14ac:dyDescent="0.2">
      <c r="A622" s="842">
        <v>40525</v>
      </c>
      <c r="B622" s="934" t="s">
        <v>1176</v>
      </c>
      <c r="C622" s="852">
        <f>'[15]Input Sheet'!Q611</f>
        <v>0</v>
      </c>
      <c r="D622" s="852"/>
      <c r="E622" s="911">
        <v>0</v>
      </c>
      <c r="F622" s="243"/>
      <c r="G622" s="243"/>
      <c r="H622" s="243"/>
      <c r="I622" s="243"/>
      <c r="J622" s="243"/>
      <c r="K622" s="243"/>
      <c r="L622" s="243"/>
      <c r="M622" s="243"/>
    </row>
    <row r="623" spans="1:13" x14ac:dyDescent="0.2">
      <c r="A623" s="842">
        <v>40641</v>
      </c>
      <c r="B623" s="934" t="s">
        <v>1177</v>
      </c>
      <c r="C623" s="852">
        <f>'[15]Input Sheet'!Q612</f>
        <v>457.66770446999999</v>
      </c>
      <c r="D623" s="852"/>
      <c r="E623" s="911">
        <v>54.148500883000004</v>
      </c>
      <c r="F623" s="243"/>
      <c r="G623" s="243"/>
      <c r="H623" s="243"/>
      <c r="I623" s="243"/>
      <c r="J623" s="243"/>
      <c r="K623" s="243"/>
      <c r="L623" s="243"/>
      <c r="M623" s="243"/>
    </row>
    <row r="624" spans="1:13" x14ac:dyDescent="0.2">
      <c r="A624" s="956">
        <v>43100</v>
      </c>
      <c r="B624" s="934" t="s">
        <v>1178</v>
      </c>
      <c r="C624" s="852">
        <f>'[15]Input Sheet'!Q613</f>
        <v>0</v>
      </c>
      <c r="D624" s="852"/>
      <c r="E624" s="911">
        <v>0</v>
      </c>
      <c r="F624" s="243"/>
      <c r="G624" s="243"/>
      <c r="H624" s="243"/>
      <c r="I624" s="243"/>
      <c r="J624" s="243"/>
      <c r="K624" s="243"/>
      <c r="L624" s="243"/>
      <c r="M624" s="243"/>
    </row>
    <row r="625" spans="1:13" x14ac:dyDescent="0.2">
      <c r="A625" s="956">
        <v>43125</v>
      </c>
      <c r="B625" s="939" t="s">
        <v>1179</v>
      </c>
      <c r="C625" s="852">
        <f>'[15]Input Sheet'!Q614</f>
        <v>1.341848938</v>
      </c>
      <c r="D625" s="852"/>
      <c r="E625" s="911">
        <v>1.55033741</v>
      </c>
      <c r="F625" s="243"/>
      <c r="G625" s="243"/>
      <c r="H625" s="243"/>
      <c r="I625" s="243"/>
      <c r="J625" s="243"/>
      <c r="K625" s="243"/>
      <c r="L625" s="243"/>
      <c r="M625" s="243"/>
    </row>
    <row r="626" spans="1:13" x14ac:dyDescent="0.2">
      <c r="A626" s="956">
        <v>43126</v>
      </c>
      <c r="B626" s="939" t="s">
        <v>1180</v>
      </c>
      <c r="C626" s="852">
        <f>'[15]Input Sheet'!Q615</f>
        <v>0.74012271900000004</v>
      </c>
      <c r="D626" s="852"/>
      <c r="E626" s="911">
        <v>1.0560911660000001</v>
      </c>
      <c r="F626" s="243"/>
      <c r="G626" s="243"/>
      <c r="H626" s="243"/>
      <c r="I626" s="243"/>
      <c r="J626" s="243"/>
      <c r="K626" s="243"/>
      <c r="L626" s="243"/>
      <c r="M626" s="243"/>
    </row>
    <row r="627" spans="1:13" x14ac:dyDescent="0.2">
      <c r="A627" s="956">
        <v>43131</v>
      </c>
      <c r="B627" s="934" t="s">
        <v>1181</v>
      </c>
      <c r="C627" s="852">
        <f>'[15]Input Sheet'!Q616</f>
        <v>0.88982549199999994</v>
      </c>
      <c r="D627" s="852"/>
      <c r="E627" s="911">
        <v>0.256908462</v>
      </c>
      <c r="F627" s="243"/>
      <c r="G627" s="243"/>
      <c r="H627" s="243"/>
      <c r="I627" s="243"/>
      <c r="J627" s="243"/>
      <c r="K627" s="243"/>
      <c r="L627" s="243"/>
      <c r="M627" s="243"/>
    </row>
    <row r="628" spans="1:13" x14ac:dyDescent="0.2">
      <c r="A628" s="956">
        <v>43132</v>
      </c>
      <c r="B628" s="934" t="s">
        <v>1182</v>
      </c>
      <c r="C628" s="852">
        <f>'[15]Input Sheet'!Q617</f>
        <v>1.9116000000000001E-3</v>
      </c>
      <c r="D628" s="852"/>
      <c r="E628" s="911">
        <v>6.945456E-3</v>
      </c>
      <c r="F628" s="243"/>
      <c r="G628" s="243"/>
      <c r="H628" s="243"/>
      <c r="I628" s="243"/>
      <c r="J628" s="243"/>
      <c r="K628" s="243"/>
      <c r="L628" s="243"/>
      <c r="M628" s="243"/>
    </row>
    <row r="629" spans="1:13" x14ac:dyDescent="0.2">
      <c r="A629" s="956">
        <v>43133</v>
      </c>
      <c r="B629" s="934" t="s">
        <v>1183</v>
      </c>
      <c r="C629" s="852">
        <f>'[15]Input Sheet'!Q618</f>
        <v>2.6770660000000001E-3</v>
      </c>
      <c r="D629" s="852"/>
      <c r="E629" s="911">
        <v>0</v>
      </c>
      <c r="F629" s="243"/>
      <c r="G629" s="243"/>
      <c r="H629" s="243"/>
      <c r="I629" s="243"/>
      <c r="J629" s="243"/>
      <c r="K629" s="243"/>
      <c r="L629" s="243"/>
      <c r="M629" s="243"/>
    </row>
    <row r="630" spans="1:13" x14ac:dyDescent="0.2">
      <c r="A630" s="842">
        <v>43134</v>
      </c>
      <c r="B630" s="934" t="s">
        <v>1184</v>
      </c>
      <c r="C630" s="852">
        <f>'[15]Input Sheet'!Q619</f>
        <v>17.388309764999999</v>
      </c>
      <c r="D630" s="852"/>
      <c r="E630" s="911">
        <v>59.184314821000001</v>
      </c>
      <c r="F630" s="243"/>
      <c r="G630" s="243"/>
      <c r="H630" s="243"/>
      <c r="I630" s="243"/>
      <c r="J630" s="243"/>
      <c r="K630" s="243"/>
      <c r="L630" s="243"/>
      <c r="M630" s="243"/>
    </row>
    <row r="631" spans="1:13" ht="25.5" x14ac:dyDescent="0.2">
      <c r="A631" s="956">
        <v>43135</v>
      </c>
      <c r="B631" s="939" t="s">
        <v>1185</v>
      </c>
      <c r="C631" s="852">
        <f>'[15]Input Sheet'!Q620</f>
        <v>62.912467638000003</v>
      </c>
      <c r="D631" s="852"/>
      <c r="E631" s="911">
        <v>87.798107730999988</v>
      </c>
      <c r="F631" s="243"/>
      <c r="G631" s="243"/>
      <c r="H631" s="243"/>
      <c r="I631" s="243"/>
      <c r="J631" s="243"/>
      <c r="K631" s="243"/>
      <c r="L631" s="243"/>
      <c r="M631" s="243"/>
    </row>
    <row r="632" spans="1:13" x14ac:dyDescent="0.2">
      <c r="A632" s="956">
        <v>43136</v>
      </c>
      <c r="B632" s="939" t="s">
        <v>1186</v>
      </c>
      <c r="C632" s="852">
        <f>'[15]Input Sheet'!Q621</f>
        <v>0.25597344100000002</v>
      </c>
      <c r="D632" s="852"/>
      <c r="E632" s="911">
        <v>0.60724770400000005</v>
      </c>
      <c r="M632" s="243"/>
    </row>
    <row r="633" spans="1:13" x14ac:dyDescent="0.2">
      <c r="A633" s="956">
        <v>43137</v>
      </c>
      <c r="B633" s="934" t="s">
        <v>1187</v>
      </c>
      <c r="C633" s="852">
        <f>'[15]Input Sheet'!Q622</f>
        <v>0</v>
      </c>
      <c r="D633" s="852"/>
      <c r="E633" s="911">
        <v>0</v>
      </c>
      <c r="M633" s="243"/>
    </row>
    <row r="634" spans="1:13" x14ac:dyDescent="0.2">
      <c r="A634" s="956">
        <v>43138</v>
      </c>
      <c r="B634" s="934" t="s">
        <v>1188</v>
      </c>
      <c r="C634" s="852">
        <f>'[15]Input Sheet'!Q623</f>
        <v>3.1800302000000003E-2</v>
      </c>
      <c r="D634" s="852"/>
      <c r="E634" s="911">
        <v>0.20894006000000001</v>
      </c>
      <c r="M634" s="243"/>
    </row>
    <row r="635" spans="1:13" x14ac:dyDescent="0.2">
      <c r="A635" s="956">
        <v>43139</v>
      </c>
      <c r="B635" s="934" t="s">
        <v>1189</v>
      </c>
      <c r="C635" s="852">
        <f>'[15]Input Sheet'!Q624</f>
        <v>0.23490719399999999</v>
      </c>
      <c r="D635" s="852"/>
      <c r="E635" s="911">
        <v>7.1146055E-2</v>
      </c>
      <c r="M635" s="243"/>
    </row>
    <row r="636" spans="1:13" x14ac:dyDescent="0.2">
      <c r="A636" s="956">
        <v>43151</v>
      </c>
      <c r="B636" s="934" t="s">
        <v>1190</v>
      </c>
      <c r="C636" s="852">
        <f>'[15]Input Sheet'!Q625</f>
        <v>8.4038719999999997E-3</v>
      </c>
      <c r="D636" s="852"/>
      <c r="E636" s="911">
        <v>4.8362300000000004E-3</v>
      </c>
      <c r="M636" s="243"/>
    </row>
    <row r="637" spans="1:13" x14ac:dyDescent="0.2">
      <c r="A637" s="956">
        <v>43152</v>
      </c>
      <c r="B637" s="934" t="s">
        <v>1191</v>
      </c>
      <c r="C637" s="852">
        <f>'[15]Input Sheet'!Q626</f>
        <v>0</v>
      </c>
      <c r="D637" s="852"/>
      <c r="E637" s="911">
        <v>0</v>
      </c>
      <c r="M637" s="243"/>
    </row>
    <row r="638" spans="1:13" x14ac:dyDescent="0.2">
      <c r="A638" s="956">
        <v>43153</v>
      </c>
      <c r="B638" s="934" t="s">
        <v>1192</v>
      </c>
      <c r="C638" s="852">
        <f>'[15]Input Sheet'!Q627</f>
        <v>0</v>
      </c>
      <c r="D638" s="852"/>
      <c r="E638" s="911">
        <v>0</v>
      </c>
      <c r="M638" s="243"/>
    </row>
    <row r="639" spans="1:13" x14ac:dyDescent="0.2">
      <c r="A639" s="956">
        <v>43154</v>
      </c>
      <c r="B639" s="934" t="s">
        <v>1193</v>
      </c>
      <c r="C639" s="852">
        <f>'[15]Input Sheet'!Q628</f>
        <v>0</v>
      </c>
      <c r="D639" s="852"/>
      <c r="E639" s="911">
        <v>0</v>
      </c>
      <c r="M639" s="243"/>
    </row>
    <row r="640" spans="1:13" x14ac:dyDescent="0.2">
      <c r="A640" s="956">
        <v>43155</v>
      </c>
      <c r="B640" s="934" t="s">
        <v>1194</v>
      </c>
      <c r="C640" s="852">
        <f>'[15]Input Sheet'!Q629</f>
        <v>1.9513300000000001E-2</v>
      </c>
      <c r="D640" s="852"/>
      <c r="E640" s="911">
        <v>8.4977166000000007E-2</v>
      </c>
      <c r="M640" s="243"/>
    </row>
    <row r="641" spans="1:13" x14ac:dyDescent="0.2">
      <c r="A641" s="956">
        <v>43156</v>
      </c>
      <c r="B641" s="934" t="s">
        <v>1195</v>
      </c>
      <c r="C641" s="852">
        <f>'[15]Input Sheet'!Q630</f>
        <v>0.13185798999999998</v>
      </c>
      <c r="D641" s="852"/>
      <c r="E641" s="911">
        <v>0.17046778899999998</v>
      </c>
      <c r="M641" s="243"/>
    </row>
    <row r="642" spans="1:13" ht="25.5" x14ac:dyDescent="0.2">
      <c r="A642" s="956">
        <v>43300</v>
      </c>
      <c r="B642" s="939" t="s">
        <v>1196</v>
      </c>
      <c r="C642" s="900">
        <f>'[15]Input Sheet'!Q631</f>
        <v>0</v>
      </c>
      <c r="D642" s="852"/>
      <c r="E642" s="911">
        <v>0.80761085799999999</v>
      </c>
      <c r="M642" s="243"/>
    </row>
    <row r="643" spans="1:13" x14ac:dyDescent="0.2">
      <c r="A643" s="1002"/>
      <c r="B643" s="1040"/>
      <c r="C643" s="1041">
        <f>SUM(C587:C642)</f>
        <v>9747.6502665793432</v>
      </c>
      <c r="D643" s="884">
        <f>SUM(C587:C642)</f>
        <v>9747.6502665793432</v>
      </c>
      <c r="E643" s="1041">
        <f>SUM(E587:E642)</f>
        <v>8102.1865365563317</v>
      </c>
      <c r="F643" s="884">
        <f>SUM(E587:E642)</f>
        <v>8102.1865365563317</v>
      </c>
      <c r="G643" s="862"/>
      <c r="M643" s="243"/>
    </row>
    <row r="644" spans="1:13" x14ac:dyDescent="0.2">
      <c r="A644" s="956"/>
      <c r="B644" s="818"/>
      <c r="C644" s="852"/>
      <c r="D644" s="861"/>
      <c r="E644" s="927"/>
      <c r="F644" s="1006"/>
      <c r="G644" s="862"/>
      <c r="M644" s="243"/>
    </row>
    <row r="645" spans="1:13" x14ac:dyDescent="0.2">
      <c r="A645" s="1034" t="s">
        <v>368</v>
      </c>
      <c r="B645" s="1035" t="s">
        <v>668</v>
      </c>
      <c r="C645" s="946"/>
      <c r="D645" s="888"/>
      <c r="L645" s="862"/>
      <c r="M645" s="243"/>
    </row>
    <row r="646" spans="1:13" x14ac:dyDescent="0.2">
      <c r="A646" s="956"/>
      <c r="B646" s="936" t="s">
        <v>1197</v>
      </c>
      <c r="C646" s="935"/>
      <c r="D646" s="861"/>
      <c r="M646" s="243"/>
    </row>
    <row r="647" spans="1:13" x14ac:dyDescent="0.2">
      <c r="A647" s="956">
        <v>99116</v>
      </c>
      <c r="B647" s="934" t="s">
        <v>1087</v>
      </c>
      <c r="C647" s="935">
        <f>+'[15]Input Sheet'!Q1387</f>
        <v>282.83210237199995</v>
      </c>
      <c r="D647" s="852"/>
      <c r="E647" s="911">
        <v>233.37045157199998</v>
      </c>
      <c r="H647" s="243"/>
      <c r="I647" s="243"/>
      <c r="J647" s="243"/>
      <c r="K647" s="243"/>
      <c r="L647" s="243"/>
      <c r="M647" s="243"/>
    </row>
    <row r="648" spans="1:13" x14ac:dyDescent="0.2">
      <c r="A648" s="956">
        <v>99117</v>
      </c>
      <c r="B648" s="934" t="s">
        <v>1088</v>
      </c>
      <c r="C648" s="935">
        <f>+'[15]Input Sheet'!Q1388</f>
        <v>386.04852350000004</v>
      </c>
      <c r="D648" s="852"/>
      <c r="E648" s="911">
        <v>340.31573600000002</v>
      </c>
      <c r="H648" s="243"/>
      <c r="I648" s="243"/>
      <c r="J648" s="243"/>
      <c r="K648" s="243"/>
      <c r="L648" s="243"/>
      <c r="M648" s="243"/>
    </row>
    <row r="649" spans="1:13" x14ac:dyDescent="0.2">
      <c r="A649" s="956">
        <v>99118</v>
      </c>
      <c r="B649" s="934" t="s">
        <v>1089</v>
      </c>
      <c r="C649" s="935">
        <f>+'[15]Input Sheet'!Q1389-C684-C683</f>
        <v>872.756737929</v>
      </c>
      <c r="D649" s="852"/>
      <c r="E649" s="911">
        <v>1046.0786700609999</v>
      </c>
      <c r="H649" s="243"/>
      <c r="I649" s="243"/>
      <c r="J649" s="243"/>
      <c r="K649" s="243"/>
      <c r="L649" s="243"/>
      <c r="M649" s="243"/>
    </row>
    <row r="650" spans="1:13" x14ac:dyDescent="0.2">
      <c r="A650" s="956"/>
      <c r="B650" s="909"/>
      <c r="C650" s="978">
        <f>SUM(C647:C649)</f>
        <v>1541.637363801</v>
      </c>
      <c r="D650" s="852">
        <f>SUM(C647:C649)</f>
        <v>1541.637363801</v>
      </c>
      <c r="E650" s="978">
        <f>SUM(E647:E649)</f>
        <v>1619.7648576329998</v>
      </c>
      <c r="F650" s="852">
        <f>SUM(E647:E649)</f>
        <v>1619.7648576329998</v>
      </c>
      <c r="G650" s="862"/>
      <c r="H650" s="243"/>
      <c r="I650" s="243"/>
      <c r="J650" s="243"/>
      <c r="K650" s="243"/>
      <c r="L650" s="243"/>
      <c r="M650" s="243"/>
    </row>
    <row r="651" spans="1:13" x14ac:dyDescent="0.2">
      <c r="A651" s="956"/>
      <c r="B651" s="936" t="s">
        <v>1198</v>
      </c>
      <c r="C651" s="935"/>
      <c r="D651" s="861"/>
      <c r="H651" s="243"/>
      <c r="I651" s="243"/>
      <c r="J651" s="243"/>
      <c r="K651" s="243"/>
      <c r="L651" s="243"/>
      <c r="M651" s="243"/>
    </row>
    <row r="652" spans="1:13" x14ac:dyDescent="0.2">
      <c r="A652" s="956"/>
      <c r="B652" s="936"/>
      <c r="C652" s="935"/>
      <c r="D652" s="861"/>
      <c r="H652" s="243"/>
      <c r="I652" s="243"/>
      <c r="J652" s="243"/>
      <c r="K652" s="243"/>
      <c r="L652" s="243"/>
      <c r="M652" s="243"/>
    </row>
    <row r="653" spans="1:13" x14ac:dyDescent="0.2">
      <c r="A653" s="956"/>
      <c r="B653" s="936"/>
      <c r="C653" s="935"/>
      <c r="D653" s="861"/>
      <c r="H653" s="243"/>
      <c r="I653" s="243"/>
      <c r="J653" s="243"/>
      <c r="K653" s="243"/>
      <c r="L653" s="243"/>
      <c r="M653" s="243"/>
    </row>
    <row r="654" spans="1:13" x14ac:dyDescent="0.2">
      <c r="A654" s="956">
        <v>99107</v>
      </c>
      <c r="B654" s="934" t="s">
        <v>1199</v>
      </c>
      <c r="C654" s="935">
        <f>+'[15]Input Sheet'!Q1381-C680</f>
        <v>1.4240839999999999</v>
      </c>
      <c r="D654" s="852"/>
      <c r="E654" s="911">
        <v>1.447476406</v>
      </c>
      <c r="M654" s="243"/>
    </row>
    <row r="655" spans="1:13" x14ac:dyDescent="0.2">
      <c r="A655" s="956">
        <v>99113</v>
      </c>
      <c r="B655" s="934" t="s">
        <v>1200</v>
      </c>
      <c r="C655" s="935">
        <f>+'[15]Input Sheet'!Q1384-C681-C682</f>
        <v>106.052838935</v>
      </c>
      <c r="D655" s="852"/>
      <c r="E655" s="911">
        <v>125.363784776</v>
      </c>
      <c r="H655" s="243"/>
      <c r="I655" s="243"/>
      <c r="J655" s="243"/>
      <c r="K655" s="243"/>
      <c r="L655" s="243"/>
      <c r="M655" s="243"/>
    </row>
    <row r="656" spans="1:13" x14ac:dyDescent="0.2">
      <c r="A656" s="956">
        <v>99114</v>
      </c>
      <c r="B656" s="934" t="s">
        <v>1201</v>
      </c>
      <c r="C656" s="935">
        <f>+'[15]Input Sheet'!Q1385</f>
        <v>55.159670020000007</v>
      </c>
      <c r="D656" s="852"/>
      <c r="E656" s="911">
        <v>96.241333319000006</v>
      </c>
      <c r="H656" s="243"/>
      <c r="I656" s="243"/>
      <c r="J656" s="243"/>
      <c r="K656" s="243"/>
      <c r="L656" s="243"/>
      <c r="M656" s="243"/>
    </row>
    <row r="657" spans="1:13" x14ac:dyDescent="0.2">
      <c r="A657" s="956">
        <v>99212</v>
      </c>
      <c r="B657" s="934" t="s">
        <v>1202</v>
      </c>
      <c r="C657" s="935">
        <f>+'[15]Input Sheet'!Q1403</f>
        <v>24.731784606000002</v>
      </c>
      <c r="D657" s="852"/>
      <c r="E657" s="911">
        <v>22.367998536000002</v>
      </c>
      <c r="H657" s="243"/>
      <c r="I657" s="243"/>
      <c r="J657" s="243"/>
      <c r="K657" s="243"/>
      <c r="L657" s="243"/>
      <c r="M657" s="243"/>
    </row>
    <row r="658" spans="1:13" x14ac:dyDescent="0.2">
      <c r="A658" s="956">
        <v>46990</v>
      </c>
      <c r="B658" s="934" t="s">
        <v>1203</v>
      </c>
      <c r="C658" s="935">
        <f>+'[15]Input Sheet'!Q726</f>
        <v>6.1501480000000004E-2</v>
      </c>
      <c r="D658" s="900"/>
      <c r="E658" s="911">
        <v>6.1501480000000004E-2</v>
      </c>
      <c r="H658" s="243"/>
      <c r="I658" s="243"/>
      <c r="J658" s="243"/>
      <c r="K658" s="243"/>
      <c r="L658" s="243"/>
      <c r="M658" s="243"/>
    </row>
    <row r="659" spans="1:13" x14ac:dyDescent="0.2">
      <c r="A659" s="956"/>
      <c r="B659" s="909"/>
      <c r="C659" s="978">
        <f>SUM(C654:C658)</f>
        <v>187.42987904099999</v>
      </c>
      <c r="D659" s="852">
        <f>SUM(C654:C658)</f>
        <v>187.42987904099999</v>
      </c>
      <c r="E659" s="978">
        <f>SUM(E654:E658)</f>
        <v>245.48209451700001</v>
      </c>
      <c r="F659" s="852">
        <f>SUM(E654:E658)</f>
        <v>245.48209451700001</v>
      </c>
      <c r="G659" s="862"/>
      <c r="H659" s="243"/>
      <c r="I659" s="243"/>
      <c r="J659" s="243"/>
      <c r="K659" s="243"/>
      <c r="L659" s="243"/>
      <c r="M659" s="243"/>
    </row>
    <row r="660" spans="1:13" x14ac:dyDescent="0.2">
      <c r="A660" s="956"/>
      <c r="B660" s="944" t="s">
        <v>671</v>
      </c>
      <c r="C660" s="917"/>
      <c r="D660" s="861"/>
      <c r="H660" s="243"/>
      <c r="I660" s="243"/>
      <c r="J660" s="243"/>
      <c r="K660" s="243"/>
      <c r="L660" s="243"/>
      <c r="M660" s="243"/>
    </row>
    <row r="661" spans="1:13" x14ac:dyDescent="0.2">
      <c r="A661" s="956">
        <v>46701</v>
      </c>
      <c r="B661" s="934" t="s">
        <v>1204</v>
      </c>
      <c r="C661" s="935">
        <f>+'[15]Input Sheet'!Q666</f>
        <v>20.597373300000001</v>
      </c>
      <c r="D661" s="852"/>
      <c r="E661" s="911">
        <v>13.0395278</v>
      </c>
      <c r="H661" s="243"/>
      <c r="I661" s="243"/>
      <c r="J661" s="243"/>
      <c r="K661" s="243"/>
      <c r="L661" s="243"/>
      <c r="M661" s="243"/>
    </row>
    <row r="662" spans="1:13" x14ac:dyDescent="0.2">
      <c r="A662" s="956">
        <v>46702</v>
      </c>
      <c r="B662" s="934" t="s">
        <v>1205</v>
      </c>
      <c r="C662" s="935">
        <f>+'[15]Input Sheet'!Q667</f>
        <v>0</v>
      </c>
      <c r="D662" s="852"/>
      <c r="E662" s="911">
        <v>0</v>
      </c>
      <c r="H662" s="243"/>
      <c r="I662" s="243"/>
      <c r="J662" s="243"/>
      <c r="K662" s="243"/>
      <c r="L662" s="243"/>
      <c r="M662" s="243"/>
    </row>
    <row r="663" spans="1:13" x14ac:dyDescent="0.2">
      <c r="A663" s="956">
        <v>46703</v>
      </c>
      <c r="B663" s="934" t="s">
        <v>1206</v>
      </c>
      <c r="C663" s="935">
        <f>+'[15]Input Sheet'!Q668</f>
        <v>0</v>
      </c>
      <c r="D663" s="852"/>
      <c r="E663" s="911">
        <v>0</v>
      </c>
      <c r="H663" s="243"/>
      <c r="I663" s="243"/>
      <c r="J663" s="243"/>
      <c r="K663" s="243"/>
      <c r="L663" s="243"/>
      <c r="M663" s="243"/>
    </row>
    <row r="664" spans="1:13" x14ac:dyDescent="0.2">
      <c r="A664" s="956">
        <v>46704</v>
      </c>
      <c r="B664" s="934" t="s">
        <v>1207</v>
      </c>
      <c r="C664" s="935">
        <f>+'[15]Input Sheet'!Q669</f>
        <v>50.6782447</v>
      </c>
      <c r="D664" s="852"/>
      <c r="E664" s="911">
        <v>51.338448</v>
      </c>
    </row>
    <row r="665" spans="1:13" x14ac:dyDescent="0.2">
      <c r="A665" s="956">
        <v>46705</v>
      </c>
      <c r="B665" s="934" t="s">
        <v>1208</v>
      </c>
      <c r="C665" s="935">
        <f>+'[15]Input Sheet'!Q670</f>
        <v>54.880319100000001</v>
      </c>
      <c r="D665" s="852"/>
      <c r="E665" s="911">
        <v>43.5531048</v>
      </c>
    </row>
    <row r="666" spans="1:13" x14ac:dyDescent="0.2">
      <c r="A666" s="956">
        <v>46751</v>
      </c>
      <c r="B666" s="934" t="s">
        <v>1209</v>
      </c>
      <c r="C666" s="935">
        <f>+'[15]Input Sheet'!Q671</f>
        <v>0</v>
      </c>
      <c r="D666" s="852"/>
      <c r="E666" s="911">
        <v>0</v>
      </c>
    </row>
    <row r="667" spans="1:13" x14ac:dyDescent="0.2">
      <c r="A667" s="956">
        <v>46752</v>
      </c>
      <c r="B667" s="934" t="s">
        <v>1210</v>
      </c>
      <c r="C667" s="935">
        <f>+'[15]Input Sheet'!Q672</f>
        <v>0</v>
      </c>
      <c r="D667" s="852"/>
      <c r="E667" s="911">
        <v>0</v>
      </c>
    </row>
    <row r="668" spans="1:13" x14ac:dyDescent="0.2">
      <c r="A668" s="956">
        <v>46753</v>
      </c>
      <c r="B668" s="934" t="s">
        <v>1211</v>
      </c>
      <c r="C668" s="935">
        <f>+'[15]Input Sheet'!Q673</f>
        <v>0</v>
      </c>
      <c r="D668" s="852"/>
      <c r="E668" s="911">
        <v>0</v>
      </c>
    </row>
    <row r="669" spans="1:13" x14ac:dyDescent="0.2">
      <c r="A669" s="956">
        <v>46754</v>
      </c>
      <c r="B669" s="934" t="s">
        <v>1212</v>
      </c>
      <c r="C669" s="935">
        <f>+'[15]Input Sheet'!Q674</f>
        <v>0</v>
      </c>
      <c r="D669" s="852"/>
      <c r="E669" s="911">
        <v>9.9999999999999995E-8</v>
      </c>
    </row>
    <row r="670" spans="1:13" x14ac:dyDescent="0.2">
      <c r="A670" s="956">
        <v>46755</v>
      </c>
      <c r="B670" s="934" t="s">
        <v>1213</v>
      </c>
      <c r="C670" s="935">
        <f>+'[15]Input Sheet'!Q675</f>
        <v>0</v>
      </c>
      <c r="D670" s="852"/>
      <c r="E670" s="911">
        <v>0</v>
      </c>
    </row>
    <row r="671" spans="1:13" x14ac:dyDescent="0.2">
      <c r="A671" s="956"/>
      <c r="B671" s="934"/>
      <c r="C671" s="888">
        <f>SUM(C661:C670)</f>
        <v>126.15593710000002</v>
      </c>
      <c r="D671" s="888">
        <f>SUM(C661:C670)</f>
        <v>126.15593710000002</v>
      </c>
      <c r="E671" s="888">
        <f>SUM(E661:E670)</f>
        <v>107.9310807</v>
      </c>
      <c r="F671" s="888">
        <f>SUM(E661:E670)</f>
        <v>107.9310807</v>
      </c>
      <c r="G671" s="862"/>
      <c r="L671" s="862"/>
      <c r="M671" s="862"/>
    </row>
    <row r="672" spans="1:13" x14ac:dyDescent="0.2">
      <c r="A672" s="956"/>
      <c r="B672" s="934"/>
      <c r="C672" s="935"/>
      <c r="D672" s="852"/>
    </row>
    <row r="673" spans="1:13" x14ac:dyDescent="0.2">
      <c r="A673" s="956">
        <v>99234</v>
      </c>
      <c r="B673" s="909" t="s">
        <v>672</v>
      </c>
      <c r="C673" s="917"/>
      <c r="D673" s="861">
        <f>'[15]Input Sheet'!Q1425</f>
        <v>82.373988901000004</v>
      </c>
      <c r="F673" s="911">
        <v>109.202121408</v>
      </c>
      <c r="G673" s="862"/>
    </row>
    <row r="674" spans="1:13" x14ac:dyDescent="0.2">
      <c r="A674" s="956"/>
      <c r="B674" s="909"/>
      <c r="C674" s="917"/>
      <c r="D674" s="852"/>
      <c r="G674" s="862"/>
    </row>
    <row r="675" spans="1:13" x14ac:dyDescent="0.2">
      <c r="A675" s="956"/>
      <c r="B675" s="944" t="s">
        <v>673</v>
      </c>
      <c r="C675" s="945"/>
      <c r="D675" s="861"/>
    </row>
    <row r="676" spans="1:13" x14ac:dyDescent="0.2">
      <c r="A676" s="956">
        <v>99231</v>
      </c>
      <c r="B676" s="934" t="s">
        <v>1214</v>
      </c>
      <c r="C676" s="935">
        <f>-G1513/10^7</f>
        <v>6.6570294310000007</v>
      </c>
      <c r="D676" s="852"/>
      <c r="E676" s="911">
        <v>3.1053512170000004</v>
      </c>
      <c r="H676" s="355"/>
    </row>
    <row r="677" spans="1:13" x14ac:dyDescent="0.2">
      <c r="A677" s="956">
        <v>99231</v>
      </c>
      <c r="B677" s="934" t="s">
        <v>1215</v>
      </c>
      <c r="C677" s="935">
        <f>-(G1502+G1508)/10^7</f>
        <v>549.51882054099997</v>
      </c>
      <c r="D677" s="852"/>
      <c r="E677" s="911">
        <v>550.091816558</v>
      </c>
      <c r="H677" s="355"/>
    </row>
    <row r="678" spans="1:13" x14ac:dyDescent="0.2">
      <c r="A678" s="956">
        <v>99231</v>
      </c>
      <c r="B678" s="934" t="s">
        <v>1216</v>
      </c>
      <c r="C678" s="935">
        <f>+G1523/10^7</f>
        <v>-0.85047459999999997</v>
      </c>
      <c r="D678" s="852"/>
      <c r="E678" s="911">
        <v>-0.85047459999999997</v>
      </c>
      <c r="H678" s="355"/>
    </row>
    <row r="679" spans="1:13" x14ac:dyDescent="0.2">
      <c r="A679" s="956">
        <v>99225</v>
      </c>
      <c r="B679" s="934" t="s">
        <v>1216</v>
      </c>
      <c r="C679" s="935">
        <f>-G1520/10^7</f>
        <v>323.23268006300003</v>
      </c>
      <c r="D679" s="852"/>
      <c r="E679" s="911">
        <v>293.33038386300001</v>
      </c>
      <c r="H679" s="243"/>
      <c r="I679" s="243"/>
      <c r="J679" s="243"/>
      <c r="K679" s="243"/>
      <c r="L679" s="243"/>
      <c r="M679" s="243"/>
    </row>
    <row r="680" spans="1:13" ht="25.5" x14ac:dyDescent="0.2">
      <c r="A680" s="956">
        <v>99107</v>
      </c>
      <c r="B680" s="955" t="s">
        <v>1217</v>
      </c>
      <c r="C680" s="955">
        <f>-G1498/10^7</f>
        <v>0</v>
      </c>
      <c r="D680" s="852"/>
      <c r="E680" s="911">
        <v>0</v>
      </c>
      <c r="H680" s="243"/>
      <c r="I680" s="243"/>
      <c r="J680" s="243"/>
      <c r="K680" s="243"/>
      <c r="L680" s="243"/>
      <c r="M680" s="243"/>
    </row>
    <row r="681" spans="1:13" x14ac:dyDescent="0.2">
      <c r="A681" s="956">
        <v>99113</v>
      </c>
      <c r="B681" s="939" t="s">
        <v>1218</v>
      </c>
      <c r="C681" s="896">
        <f>-(G1500+G1507)/10^7</f>
        <v>-7.1770000000000004E-4</v>
      </c>
      <c r="D681" s="852"/>
      <c r="E681" s="911">
        <v>-6.0898999999999997E-3</v>
      </c>
      <c r="H681" s="243"/>
      <c r="I681" s="243"/>
      <c r="J681" s="243"/>
      <c r="K681" s="243"/>
      <c r="L681" s="243"/>
      <c r="M681" s="243"/>
    </row>
    <row r="682" spans="1:13" x14ac:dyDescent="0.2">
      <c r="A682" s="956">
        <v>99113</v>
      </c>
      <c r="B682" s="939" t="s">
        <v>1219</v>
      </c>
      <c r="C682" s="896">
        <f>-G1512/10^7</f>
        <v>0.5</v>
      </c>
      <c r="D682" s="852"/>
      <c r="E682" s="911">
        <v>0.5</v>
      </c>
      <c r="H682" s="243"/>
      <c r="I682" s="243"/>
      <c r="J682" s="243"/>
      <c r="K682" s="243"/>
      <c r="L682" s="243"/>
      <c r="M682" s="243"/>
    </row>
    <row r="683" spans="1:13" ht="25.5" x14ac:dyDescent="0.2">
      <c r="A683" s="956">
        <v>99118</v>
      </c>
      <c r="B683" s="939" t="s">
        <v>1220</v>
      </c>
      <c r="C683" s="896">
        <f>-G1521/10^7</f>
        <v>-0.5</v>
      </c>
      <c r="D683" s="852"/>
      <c r="E683" s="911">
        <v>-0.5</v>
      </c>
      <c r="H683" s="243"/>
      <c r="I683" s="243"/>
      <c r="J683" s="243"/>
      <c r="K683" s="243"/>
      <c r="L683" s="243"/>
      <c r="M683" s="243"/>
    </row>
    <row r="684" spans="1:13" ht="25.5" x14ac:dyDescent="0.2">
      <c r="A684" s="956">
        <v>99118</v>
      </c>
      <c r="B684" s="939" t="s">
        <v>1221</v>
      </c>
      <c r="C684" s="896">
        <f>-G1501/10^7</f>
        <v>0</v>
      </c>
      <c r="D684" s="852"/>
      <c r="E684" s="911">
        <v>0.14950869999999999</v>
      </c>
      <c r="H684" s="243"/>
      <c r="I684" s="243"/>
      <c r="J684" s="243"/>
      <c r="K684" s="243"/>
      <c r="L684" s="243"/>
      <c r="M684" s="243"/>
    </row>
    <row r="685" spans="1:13" x14ac:dyDescent="0.2">
      <c r="A685" s="956"/>
      <c r="B685" s="934"/>
      <c r="C685" s="888">
        <f>SUM(C676:C684)</f>
        <v>878.55733773499992</v>
      </c>
      <c r="D685" s="888">
        <f>SUM(C676:C684)</f>
        <v>878.55733773499992</v>
      </c>
      <c r="E685" s="888">
        <f>SUM(E676:E684)</f>
        <v>845.82049583800006</v>
      </c>
      <c r="F685" s="888">
        <f>SUM(E676:E684)</f>
        <v>845.82049583800006</v>
      </c>
      <c r="G685" s="862"/>
      <c r="H685" s="243"/>
      <c r="I685" s="243"/>
      <c r="J685" s="243"/>
      <c r="K685" s="243"/>
      <c r="L685" s="243"/>
      <c r="M685" s="243"/>
    </row>
    <row r="686" spans="1:13" x14ac:dyDescent="0.2">
      <c r="A686" s="956">
        <v>46433</v>
      </c>
      <c r="B686" s="934" t="s">
        <v>1222</v>
      </c>
      <c r="C686" s="935"/>
      <c r="D686" s="852">
        <f>'[15]Input Sheet'!Q662</f>
        <v>319.35688073200004</v>
      </c>
      <c r="F686" s="911">
        <v>223.98553004099998</v>
      </c>
      <c r="H686" s="243"/>
      <c r="I686" s="243"/>
      <c r="J686" s="243"/>
      <c r="K686" s="243"/>
      <c r="L686" s="243"/>
      <c r="M686" s="243"/>
    </row>
    <row r="687" spans="1:13" x14ac:dyDescent="0.2">
      <c r="A687" s="956">
        <v>46977</v>
      </c>
      <c r="B687" s="934" t="s">
        <v>675</v>
      </c>
      <c r="C687" s="935"/>
      <c r="D687" s="852">
        <f>'[15]Input Sheet'!Q725</f>
        <v>473.56399540000001</v>
      </c>
      <c r="F687" s="911">
        <v>487.7325586</v>
      </c>
      <c r="H687" s="243"/>
      <c r="I687" s="243"/>
      <c r="J687" s="243"/>
      <c r="K687" s="243"/>
      <c r="L687" s="243"/>
      <c r="M687" s="243"/>
    </row>
    <row r="688" spans="1:13" x14ac:dyDescent="0.2">
      <c r="A688" s="956"/>
      <c r="B688" s="944" t="s">
        <v>305</v>
      </c>
      <c r="C688" s="917"/>
      <c r="D688" s="861"/>
      <c r="H688" s="243"/>
      <c r="I688" s="243"/>
      <c r="J688" s="243"/>
      <c r="K688" s="243"/>
      <c r="L688" s="243"/>
      <c r="M688" s="243"/>
    </row>
    <row r="689" spans="1:13" x14ac:dyDescent="0.2">
      <c r="A689" s="842">
        <v>46301</v>
      </c>
      <c r="B689" s="934" t="s">
        <v>1223</v>
      </c>
      <c r="C689" s="935">
        <f>+'[15]Input Sheet'!Q657</f>
        <v>0</v>
      </c>
      <c r="D689" s="852"/>
      <c r="E689" s="911">
        <v>0</v>
      </c>
      <c r="H689" s="243"/>
      <c r="I689" s="243"/>
      <c r="J689" s="243"/>
      <c r="K689" s="243"/>
      <c r="L689" s="243"/>
      <c r="M689" s="243"/>
    </row>
    <row r="690" spans="1:13" x14ac:dyDescent="0.2">
      <c r="A690" s="956">
        <v>46430</v>
      </c>
      <c r="B690" s="934" t="s">
        <v>1224</v>
      </c>
      <c r="C690" s="935">
        <f>+'[15]Input Sheet'!Q659</f>
        <v>341.94319856999999</v>
      </c>
      <c r="D690" s="852"/>
      <c r="E690" s="911">
        <f>435.28291479+G690</f>
        <v>370.00930379800008</v>
      </c>
      <c r="G690" s="990">
        <f>+(([15]restated!A29/10^7)-J412)-H40</f>
        <v>-65.273610991999945</v>
      </c>
      <c r="H690" s="243"/>
      <c r="I690" s="243"/>
      <c r="J690" s="243"/>
      <c r="K690" s="243"/>
      <c r="L690" s="243"/>
      <c r="M690" s="243"/>
    </row>
    <row r="691" spans="1:13" ht="25.5" x14ac:dyDescent="0.2">
      <c r="A691" s="956">
        <v>46440</v>
      </c>
      <c r="B691" s="939" t="s">
        <v>1225</v>
      </c>
      <c r="C691" s="896">
        <f>'[15]Input Sheet'!Q664</f>
        <v>2.7241227019999998</v>
      </c>
      <c r="D691" s="852"/>
      <c r="E691" s="911">
        <v>2.5797696989999999</v>
      </c>
      <c r="H691" s="243"/>
      <c r="I691" s="243"/>
      <c r="J691" s="243"/>
      <c r="K691" s="243"/>
      <c r="L691" s="243"/>
      <c r="M691" s="243"/>
    </row>
    <row r="692" spans="1:13" x14ac:dyDescent="0.2">
      <c r="A692" s="956">
        <v>46450</v>
      </c>
      <c r="B692" s="934" t="s">
        <v>1226</v>
      </c>
      <c r="C692" s="935">
        <f>+'[15]Input Sheet'!Q665</f>
        <v>0</v>
      </c>
      <c r="D692" s="852"/>
      <c r="E692" s="911">
        <v>0</v>
      </c>
      <c r="H692" s="243"/>
      <c r="I692" s="243"/>
      <c r="J692" s="243"/>
      <c r="K692" s="243"/>
      <c r="L692" s="243"/>
      <c r="M692" s="243"/>
    </row>
    <row r="693" spans="1:13" x14ac:dyDescent="0.2">
      <c r="A693" s="956">
        <v>46951</v>
      </c>
      <c r="B693" s="934" t="s">
        <v>1227</v>
      </c>
      <c r="C693" s="935">
        <f>'[15]Input Sheet'!Q718</f>
        <v>0</v>
      </c>
      <c r="D693" s="900"/>
      <c r="E693" s="911">
        <v>0</v>
      </c>
      <c r="H693" s="243"/>
      <c r="I693" s="243"/>
      <c r="J693" s="243"/>
      <c r="K693" s="243"/>
      <c r="L693" s="243"/>
      <c r="M693" s="243"/>
    </row>
    <row r="694" spans="1:13" x14ac:dyDescent="0.2">
      <c r="A694" s="956"/>
      <c r="B694" s="934"/>
      <c r="C694" s="888">
        <f>SUM(C689:C693)</f>
        <v>344.66732127199998</v>
      </c>
      <c r="D694" s="852">
        <f>SUM(C689:C693)</f>
        <v>344.66732127199998</v>
      </c>
      <c r="E694" s="888">
        <f>SUM(E689:E693)</f>
        <v>372.58907349700007</v>
      </c>
      <c r="F694" s="852">
        <f>SUM(E689:E693)</f>
        <v>372.58907349700007</v>
      </c>
      <c r="G694" s="862"/>
      <c r="H694" s="243"/>
      <c r="I694" s="243"/>
      <c r="J694" s="243"/>
      <c r="K694" s="243"/>
      <c r="L694" s="243"/>
      <c r="M694" s="243"/>
    </row>
    <row r="695" spans="1:13" x14ac:dyDescent="0.2">
      <c r="A695" s="956"/>
      <c r="B695" s="934"/>
      <c r="C695" s="935"/>
      <c r="D695" s="852"/>
      <c r="H695" s="243"/>
      <c r="I695" s="243"/>
      <c r="J695" s="243"/>
      <c r="K695" s="243"/>
      <c r="L695" s="243"/>
      <c r="M695" s="243"/>
    </row>
    <row r="696" spans="1:13" x14ac:dyDescent="0.2">
      <c r="A696" s="956"/>
      <c r="B696" s="944" t="s">
        <v>676</v>
      </c>
      <c r="C696" s="917"/>
      <c r="D696" s="861"/>
      <c r="I696" s="243"/>
      <c r="J696" s="243"/>
      <c r="K696" s="243"/>
      <c r="L696" s="243"/>
      <c r="M696" s="243"/>
    </row>
    <row r="697" spans="1:13" x14ac:dyDescent="0.2">
      <c r="A697" s="956">
        <v>99232</v>
      </c>
      <c r="B697" s="934" t="s">
        <v>1228</v>
      </c>
      <c r="C697" s="852">
        <f>'[15]Input Sheet'!Q1423</f>
        <v>1.630216962</v>
      </c>
      <c r="D697" s="852"/>
      <c r="E697" s="911">
        <v>1.5216538119999998</v>
      </c>
      <c r="F697" s="1042"/>
      <c r="G697"/>
      <c r="H697" s="1043"/>
      <c r="I697" s="243"/>
      <c r="J697" s="243"/>
      <c r="K697" s="243"/>
      <c r="L697" s="243"/>
      <c r="M697" s="243"/>
    </row>
    <row r="698" spans="1:13" x14ac:dyDescent="0.2">
      <c r="A698" s="956">
        <v>44220</v>
      </c>
      <c r="B698" s="934" t="s">
        <v>1229</v>
      </c>
      <c r="C698" s="852">
        <f>'[15]Input Sheet'!Q633</f>
        <v>0</v>
      </c>
      <c r="D698" s="852"/>
      <c r="E698" s="911">
        <v>0</v>
      </c>
      <c r="F698" s="1042"/>
      <c r="G698"/>
      <c r="H698" s="1043"/>
      <c r="I698" s="243"/>
      <c r="J698" s="243"/>
      <c r="K698" s="243"/>
      <c r="L698" s="243"/>
      <c r="M698" s="243"/>
    </row>
    <row r="699" spans="1:13" x14ac:dyDescent="0.2">
      <c r="A699" s="956">
        <v>44402</v>
      </c>
      <c r="B699" s="934" t="s">
        <v>1230</v>
      </c>
      <c r="C699" s="852">
        <f>'[15]Input Sheet'!Q636</f>
        <v>0</v>
      </c>
      <c r="D699" s="852"/>
      <c r="E699" s="911">
        <v>0</v>
      </c>
      <c r="F699" s="1042"/>
      <c r="G699"/>
      <c r="H699" s="1043"/>
      <c r="I699" s="243"/>
      <c r="J699" s="243"/>
      <c r="K699" s="243"/>
      <c r="L699" s="243"/>
      <c r="M699" s="243"/>
    </row>
    <row r="700" spans="1:13" x14ac:dyDescent="0.2">
      <c r="A700" s="956">
        <v>44404</v>
      </c>
      <c r="B700" s="934" t="s">
        <v>1231</v>
      </c>
      <c r="C700" s="852">
        <f>'[15]Input Sheet'!Q637</f>
        <v>0</v>
      </c>
      <c r="D700" s="852"/>
      <c r="E700" s="911">
        <v>0</v>
      </c>
      <c r="F700" s="1042"/>
      <c r="G700"/>
      <c r="H700" s="1043"/>
      <c r="I700" s="243"/>
      <c r="J700" s="243"/>
      <c r="K700" s="243"/>
      <c r="L700" s="243"/>
      <c r="M700" s="243"/>
    </row>
    <row r="701" spans="1:13" x14ac:dyDescent="0.2">
      <c r="A701" s="956">
        <v>44405</v>
      </c>
      <c r="B701" s="934" t="s">
        <v>1232</v>
      </c>
      <c r="C701" s="852">
        <f>'[15]Input Sheet'!Q638</f>
        <v>0</v>
      </c>
      <c r="D701" s="852"/>
      <c r="E701" s="911">
        <v>0</v>
      </c>
      <c r="F701" s="1042"/>
      <c r="G701"/>
      <c r="H701" s="1043"/>
      <c r="I701" s="243"/>
      <c r="J701" s="243"/>
      <c r="K701" s="243"/>
      <c r="L701" s="243"/>
      <c r="M701" s="243"/>
    </row>
    <row r="702" spans="1:13" x14ac:dyDescent="0.2">
      <c r="A702" s="956">
        <v>44406</v>
      </c>
      <c r="B702" s="934" t="s">
        <v>1233</v>
      </c>
      <c r="C702" s="852">
        <f>'[15]Input Sheet'!Q639</f>
        <v>1.1677818</v>
      </c>
      <c r="D702" s="852"/>
      <c r="E702" s="911">
        <v>1.3970186</v>
      </c>
      <c r="F702" s="1042"/>
      <c r="G702"/>
      <c r="H702" s="1043"/>
      <c r="I702" s="243"/>
      <c r="J702" s="243"/>
      <c r="K702" s="243"/>
      <c r="L702" s="243"/>
      <c r="M702" s="243"/>
    </row>
    <row r="703" spans="1:13" x14ac:dyDescent="0.2">
      <c r="A703" s="956">
        <v>44408</v>
      </c>
      <c r="B703" s="934" t="s">
        <v>1234</v>
      </c>
      <c r="C703" s="852">
        <f>'[15]Input Sheet'!Q641</f>
        <v>0</v>
      </c>
      <c r="D703" s="852"/>
      <c r="E703" s="911">
        <v>2.7799999999999999E-3</v>
      </c>
      <c r="F703" s="1042"/>
      <c r="G703"/>
      <c r="H703" s="1043"/>
      <c r="I703" s="243"/>
      <c r="J703" s="243"/>
      <c r="K703" s="243"/>
      <c r="L703" s="243"/>
      <c r="M703" s="243"/>
    </row>
    <row r="704" spans="1:13" x14ac:dyDescent="0.2">
      <c r="A704" s="956">
        <v>44409</v>
      </c>
      <c r="B704" s="934" t="s">
        <v>1235</v>
      </c>
      <c r="C704" s="852">
        <f>'[15]Input Sheet'!Q642</f>
        <v>12.453330461</v>
      </c>
      <c r="D704" s="852"/>
      <c r="E704" s="911">
        <v>13.467218965000001</v>
      </c>
      <c r="F704" s="1042"/>
      <c r="G704"/>
      <c r="H704" s="1043"/>
      <c r="I704" s="243"/>
      <c r="J704" s="243"/>
      <c r="K704" s="243"/>
      <c r="L704" s="243"/>
      <c r="M704" s="243"/>
    </row>
    <row r="705" spans="1:13" x14ac:dyDescent="0.2">
      <c r="A705" s="956">
        <v>44410</v>
      </c>
      <c r="B705" s="934" t="s">
        <v>1236</v>
      </c>
      <c r="C705" s="852">
        <f>'[15]Input Sheet'!Q643</f>
        <v>0</v>
      </c>
      <c r="D705" s="852"/>
      <c r="E705" s="911">
        <v>0</v>
      </c>
      <c r="F705" s="1042"/>
      <c r="G705"/>
      <c r="H705" s="1043"/>
      <c r="I705" s="243"/>
      <c r="J705" s="243"/>
      <c r="K705" s="243"/>
      <c r="L705" s="243"/>
      <c r="M705" s="243"/>
    </row>
    <row r="706" spans="1:13" x14ac:dyDescent="0.2">
      <c r="A706" s="956">
        <v>44413</v>
      </c>
      <c r="B706" s="934" t="s">
        <v>1237</v>
      </c>
      <c r="C706" s="852">
        <f>'[15]Input Sheet'!Q644</f>
        <v>9.7921745300000005</v>
      </c>
      <c r="D706" s="852"/>
      <c r="E706" s="911">
        <v>8.0587071120000004</v>
      </c>
      <c r="F706" s="1042"/>
      <c r="G706"/>
      <c r="H706" s="1043"/>
      <c r="I706" s="243"/>
      <c r="J706" s="243"/>
      <c r="K706" s="243"/>
      <c r="L706" s="243"/>
      <c r="M706" s="243"/>
    </row>
    <row r="707" spans="1:13" x14ac:dyDescent="0.2">
      <c r="A707" s="956">
        <v>44414</v>
      </c>
      <c r="B707" s="934" t="s">
        <v>1238</v>
      </c>
      <c r="C707" s="852">
        <f>'[15]Input Sheet'!Q645</f>
        <v>-0.13497572299999999</v>
      </c>
      <c r="D707" s="852"/>
      <c r="E707" s="911">
        <v>-0.13634497300000001</v>
      </c>
      <c r="F707" s="1042"/>
      <c r="G707"/>
      <c r="H707" s="1043"/>
      <c r="I707" s="243"/>
      <c r="J707" s="243"/>
      <c r="K707" s="243"/>
      <c r="L707" s="243"/>
      <c r="M707" s="243"/>
    </row>
    <row r="708" spans="1:13" x14ac:dyDescent="0.2">
      <c r="A708" s="956">
        <v>44417</v>
      </c>
      <c r="B708" s="934" t="s">
        <v>1239</v>
      </c>
      <c r="C708" s="852">
        <f>'[15]Input Sheet'!Q646</f>
        <v>0.210095</v>
      </c>
      <c r="D708" s="852"/>
      <c r="E708" s="911">
        <v>7.1564000000000003E-2</v>
      </c>
      <c r="F708" s="1042"/>
      <c r="G708"/>
      <c r="H708" s="1043"/>
      <c r="I708" s="243"/>
      <c r="J708" s="243"/>
      <c r="K708" s="243"/>
      <c r="L708" s="243"/>
      <c r="M708" s="243"/>
    </row>
    <row r="709" spans="1:13" x14ac:dyDescent="0.2">
      <c r="A709" s="956">
        <v>44418</v>
      </c>
      <c r="B709" s="934" t="s">
        <v>1240</v>
      </c>
      <c r="C709" s="852">
        <f>'[15]Input Sheet'!Q647</f>
        <v>6.1003999999999997E-3</v>
      </c>
      <c r="D709" s="852"/>
      <c r="E709" s="911">
        <v>6.5560000000000002E-3</v>
      </c>
      <c r="F709" s="1042"/>
      <c r="G709"/>
      <c r="H709" s="1043"/>
      <c r="I709" s="243"/>
      <c r="J709" s="243"/>
      <c r="K709" s="243"/>
      <c r="L709" s="243"/>
      <c r="M709" s="243"/>
    </row>
    <row r="710" spans="1:13" x14ac:dyDescent="0.2">
      <c r="A710" s="956">
        <v>44419</v>
      </c>
      <c r="B710" s="934" t="s">
        <v>1241</v>
      </c>
      <c r="C710" s="852">
        <f>'[15]Input Sheet'!Q648</f>
        <v>0</v>
      </c>
      <c r="D710" s="852"/>
      <c r="E710" s="911">
        <v>0</v>
      </c>
      <c r="F710" s="1042"/>
      <c r="G710"/>
      <c r="H710" s="1043"/>
      <c r="I710" s="243"/>
      <c r="J710" s="243"/>
      <c r="K710" s="243"/>
      <c r="L710" s="243"/>
      <c r="M710" s="243"/>
    </row>
    <row r="711" spans="1:13" x14ac:dyDescent="0.2">
      <c r="A711" s="956">
        <v>44420</v>
      </c>
      <c r="B711" s="934" t="s">
        <v>1242</v>
      </c>
      <c r="C711" s="852">
        <f>'[15]Input Sheet'!Q649</f>
        <v>0</v>
      </c>
      <c r="D711" s="852"/>
      <c r="E711" s="911">
        <v>0</v>
      </c>
      <c r="F711" s="1042"/>
      <c r="G711"/>
      <c r="H711" s="1043"/>
      <c r="I711" s="243"/>
      <c r="J711" s="243"/>
      <c r="K711" s="243"/>
      <c r="L711" s="243"/>
      <c r="M711" s="243"/>
    </row>
    <row r="712" spans="1:13" x14ac:dyDescent="0.2">
      <c r="A712" s="956">
        <v>44429</v>
      </c>
      <c r="B712" s="939" t="s">
        <v>1243</v>
      </c>
      <c r="C712" s="852">
        <f>'[15]Input Sheet'!Q650</f>
        <v>1.1406582430000001</v>
      </c>
      <c r="D712" s="852"/>
      <c r="E712" s="911">
        <v>1.0301036990000001</v>
      </c>
      <c r="F712" s="1042"/>
      <c r="G712"/>
      <c r="H712" s="1043"/>
    </row>
    <row r="713" spans="1:13" x14ac:dyDescent="0.2">
      <c r="A713" s="956">
        <v>44430</v>
      </c>
      <c r="B713" s="934" t="s">
        <v>1244</v>
      </c>
      <c r="C713" s="852">
        <f>'[15]Input Sheet'!Q651</f>
        <v>9.0600000000000007E-5</v>
      </c>
      <c r="D713" s="852"/>
      <c r="E713" s="911">
        <v>2.5473099999999999E-2</v>
      </c>
      <c r="F713" s="1042"/>
      <c r="G713"/>
      <c r="H713" s="1043"/>
    </row>
    <row r="714" spans="1:13" x14ac:dyDescent="0.2">
      <c r="A714" s="956">
        <v>44431</v>
      </c>
      <c r="B714" s="939" t="s">
        <v>1245</v>
      </c>
      <c r="C714" s="852">
        <f>'[15]Input Sheet'!Q652</f>
        <v>1.7039999999999999E-4</v>
      </c>
      <c r="D714" s="852"/>
      <c r="E714" s="911">
        <v>0</v>
      </c>
      <c r="F714" s="1042"/>
      <c r="G714"/>
      <c r="H714" s="1043"/>
    </row>
    <row r="715" spans="1:13" x14ac:dyDescent="0.2">
      <c r="A715" s="956">
        <v>44432</v>
      </c>
      <c r="B715" s="934" t="s">
        <v>1246</v>
      </c>
      <c r="C715" s="852">
        <f>'[15]Input Sheet'!Q653</f>
        <v>9.5000000000000005E-5</v>
      </c>
      <c r="D715" s="852"/>
      <c r="E715" s="911">
        <v>-6.4999999999999994E-5</v>
      </c>
      <c r="F715" s="1042"/>
      <c r="G715"/>
      <c r="H715" s="1043"/>
    </row>
    <row r="716" spans="1:13" x14ac:dyDescent="0.2">
      <c r="A716" s="956">
        <v>44433</v>
      </c>
      <c r="B716" s="939" t="s">
        <v>1247</v>
      </c>
      <c r="C716" s="852">
        <f>'[15]Input Sheet'!Q654</f>
        <v>0</v>
      </c>
      <c r="D716" s="852"/>
      <c r="E716" s="911">
        <v>0</v>
      </c>
    </row>
    <row r="717" spans="1:13" x14ac:dyDescent="0.2">
      <c r="A717" s="956">
        <v>44434</v>
      </c>
      <c r="B717" s="934" t="s">
        <v>1248</v>
      </c>
      <c r="C717" s="852">
        <f>'[15]Input Sheet'!Q655</f>
        <v>18.762756799999998</v>
      </c>
      <c r="D717" s="852"/>
      <c r="E717" s="911">
        <v>22.611454511000002</v>
      </c>
    </row>
    <row r="718" spans="1:13" x14ac:dyDescent="0.2">
      <c r="A718" s="842">
        <v>46432</v>
      </c>
      <c r="B718" s="934" t="s">
        <v>1249</v>
      </c>
      <c r="C718" s="852">
        <f>'[15]Input Sheet'!Q661</f>
        <v>303.51013034200002</v>
      </c>
      <c r="D718" s="852"/>
      <c r="E718" s="911">
        <v>11.092862007999999</v>
      </c>
    </row>
    <row r="719" spans="1:13" x14ac:dyDescent="0.2">
      <c r="A719" s="956">
        <v>57150</v>
      </c>
      <c r="B719" s="934" t="s">
        <v>1250</v>
      </c>
      <c r="C719" s="852">
        <f>'[15]Input Sheet'!Q1069</f>
        <v>5.1872312960000002</v>
      </c>
      <c r="D719" s="852"/>
      <c r="E719" s="911">
        <v>5.526269396</v>
      </c>
    </row>
    <row r="720" spans="1:13" x14ac:dyDescent="0.2">
      <c r="A720" s="956">
        <v>46953</v>
      </c>
      <c r="B720" s="934" t="s">
        <v>1021</v>
      </c>
      <c r="C720" s="852">
        <f>+IF(('[15]Input Sheet'!Q719&lt;0), 0, '[15]Input Sheet'!Q719)</f>
        <v>26.048086900000001</v>
      </c>
      <c r="D720" s="852"/>
      <c r="E720" s="911">
        <v>31.485594899999999</v>
      </c>
    </row>
    <row r="721" spans="1:13" x14ac:dyDescent="0.2">
      <c r="A721" s="956">
        <v>46954</v>
      </c>
      <c r="B721" s="934" t="s">
        <v>1251</v>
      </c>
      <c r="C721" s="852">
        <f>+'[15]Input Sheet'!Q720</f>
        <v>6.4999999999999997E-3</v>
      </c>
      <c r="D721" s="852"/>
      <c r="E721" s="911">
        <v>3.5000000000000001E-3</v>
      </c>
    </row>
    <row r="722" spans="1:13" x14ac:dyDescent="0.2">
      <c r="A722" s="956"/>
      <c r="B722" s="818"/>
      <c r="C722" s="1030">
        <f>SUM(C697:C721)</f>
        <v>379.78044301100005</v>
      </c>
      <c r="D722" s="1030">
        <f>SUM(C697:C721)</f>
        <v>379.78044301100005</v>
      </c>
      <c r="E722" s="1030">
        <f>SUM(E697:E721)</f>
        <v>96.164346129999998</v>
      </c>
      <c r="F722" s="1030">
        <f>SUM(E697:E721)</f>
        <v>96.164346129999998</v>
      </c>
    </row>
    <row r="723" spans="1:13" x14ac:dyDescent="0.2">
      <c r="A723" s="1002"/>
      <c r="B723" s="973"/>
      <c r="C723" s="974"/>
      <c r="D723" s="884">
        <f>SUM(D650:D722)</f>
        <v>4333.5231469929995</v>
      </c>
      <c r="E723" s="974"/>
      <c r="F723" s="884">
        <f>SUM(F650:F722)</f>
        <v>4108.6721583640001</v>
      </c>
      <c r="G723" s="862"/>
      <c r="H723" s="862"/>
      <c r="I723" s="862"/>
      <c r="J723" s="862"/>
      <c r="L723" s="862"/>
    </row>
    <row r="724" spans="1:13" x14ac:dyDescent="0.2">
      <c r="B724" s="1044"/>
      <c r="C724" s="1045"/>
      <c r="D724" s="1006"/>
      <c r="E724" s="1023"/>
      <c r="F724" s="1023"/>
      <c r="G724" s="862"/>
      <c r="H724" s="862"/>
      <c r="I724" s="862"/>
      <c r="J724" s="862"/>
      <c r="L724" s="862"/>
    </row>
    <row r="725" spans="1:13" x14ac:dyDescent="0.2">
      <c r="A725" s="1034" t="s">
        <v>1252</v>
      </c>
      <c r="B725" s="1008" t="s">
        <v>336</v>
      </c>
      <c r="C725" s="1009"/>
      <c r="D725" s="891"/>
      <c r="E725" s="1023"/>
      <c r="F725" s="1023"/>
      <c r="G725" s="862"/>
      <c r="H725" s="862"/>
      <c r="I725" s="862"/>
      <c r="J725" s="862"/>
      <c r="K725" s="862"/>
      <c r="L725" s="862"/>
      <c r="M725" s="862"/>
    </row>
    <row r="726" spans="1:13" ht="14.25" x14ac:dyDescent="0.2">
      <c r="A726" s="992"/>
      <c r="B726" s="638" t="s">
        <v>1253</v>
      </c>
      <c r="C726" s="945"/>
      <c r="D726" s="861"/>
      <c r="E726" s="1023"/>
      <c r="F726" s="1023"/>
      <c r="G726" s="862"/>
      <c r="H726" s="862"/>
      <c r="I726" s="862"/>
      <c r="J726" s="862"/>
      <c r="K726" s="862"/>
      <c r="L726" s="862"/>
      <c r="M726" s="862"/>
    </row>
    <row r="727" spans="1:13" ht="14.25" x14ac:dyDescent="0.2">
      <c r="A727" s="956">
        <f>+'[15]Input Sheet'!D1061</f>
        <v>55101</v>
      </c>
      <c r="B727" s="638" t="s">
        <v>1082</v>
      </c>
      <c r="C727" s="945">
        <f>+'[15]Input Sheet'!Q1061</f>
        <v>0</v>
      </c>
      <c r="D727" s="861"/>
      <c r="E727" s="1023">
        <v>0.22439999999999999</v>
      </c>
      <c r="F727" s="1023"/>
      <c r="G727" s="862"/>
      <c r="H727" s="862"/>
      <c r="I727" s="862"/>
      <c r="J727" s="862"/>
      <c r="K727" s="862"/>
      <c r="L727" s="862"/>
      <c r="M727" s="862"/>
    </row>
    <row r="728" spans="1:13" ht="14.25" x14ac:dyDescent="0.2">
      <c r="A728" s="956">
        <f>+'[15]Input Sheet'!D1062</f>
        <v>55102</v>
      </c>
      <c r="B728" s="638" t="s">
        <v>1083</v>
      </c>
      <c r="C728" s="945">
        <f>+'[15]Input Sheet'!Q1062</f>
        <v>0</v>
      </c>
      <c r="D728" s="861"/>
      <c r="E728" s="1023">
        <v>0</v>
      </c>
      <c r="F728" s="1023"/>
      <c r="G728" s="862"/>
      <c r="H728" s="862"/>
      <c r="I728" s="862"/>
      <c r="J728" s="862"/>
      <c r="K728" s="862"/>
      <c r="L728" s="862"/>
      <c r="M728" s="862"/>
    </row>
    <row r="729" spans="1:13" ht="14.25" x14ac:dyDescent="0.2">
      <c r="A729" s="956">
        <f>+'[15]Input Sheet'!D1063</f>
        <v>55103</v>
      </c>
      <c r="B729" s="638" t="s">
        <v>1084</v>
      </c>
      <c r="C729" s="945">
        <f>+'[15]Input Sheet'!Q1063</f>
        <v>18</v>
      </c>
      <c r="D729" s="861"/>
      <c r="E729" s="1023">
        <v>18</v>
      </c>
      <c r="F729" s="1023"/>
      <c r="G729" s="862"/>
      <c r="H729" s="862"/>
      <c r="I729" s="862"/>
      <c r="J729" s="862"/>
      <c r="K729" s="862"/>
      <c r="L729" s="862"/>
      <c r="M729" s="862"/>
    </row>
    <row r="730" spans="1:13" ht="14.25" x14ac:dyDescent="0.2">
      <c r="A730" s="956">
        <f>+'[15]Input Sheet'!D1064</f>
        <v>55104</v>
      </c>
      <c r="B730" s="638" t="s">
        <v>1085</v>
      </c>
      <c r="C730" s="945">
        <f>+'[15]Input Sheet'!Q1064</f>
        <v>0</v>
      </c>
      <c r="D730" s="861"/>
      <c r="E730" s="1023">
        <v>0</v>
      </c>
      <c r="F730" s="1023"/>
      <c r="G730" s="862"/>
      <c r="H730" s="862"/>
      <c r="I730" s="862"/>
      <c r="J730" s="862"/>
      <c r="K730" s="862"/>
      <c r="L730" s="862"/>
      <c r="M730" s="862"/>
    </row>
    <row r="731" spans="1:13" x14ac:dyDescent="0.2">
      <c r="A731" s="956">
        <f>+'[15]Input Sheet'!D1065</f>
        <v>55105</v>
      </c>
      <c r="B731" s="956" t="s">
        <v>1086</v>
      </c>
      <c r="C731" s="945">
        <f>+'[15]Input Sheet'!Q1065</f>
        <v>0</v>
      </c>
      <c r="D731" s="861"/>
      <c r="E731" s="1023">
        <v>63.462499999999999</v>
      </c>
      <c r="F731" s="1023"/>
      <c r="G731" s="862"/>
      <c r="H731" s="862"/>
      <c r="I731" s="862"/>
      <c r="J731" s="862"/>
      <c r="K731" s="862"/>
      <c r="L731" s="862"/>
      <c r="M731" s="862"/>
    </row>
    <row r="732" spans="1:13" x14ac:dyDescent="0.2">
      <c r="A732" s="957">
        <f>+'[15]Input Sheet'!D1066</f>
        <v>55106</v>
      </c>
      <c r="B732" s="1000" t="s">
        <v>649</v>
      </c>
      <c r="C732" s="945">
        <f>+'[15]Input Sheet'!Q1066</f>
        <v>0</v>
      </c>
      <c r="D732" s="861"/>
      <c r="E732" s="1023">
        <v>0</v>
      </c>
      <c r="F732" s="1023"/>
      <c r="G732" s="862"/>
      <c r="H732" s="862"/>
      <c r="I732" s="862"/>
      <c r="J732" s="862"/>
      <c r="K732" s="862"/>
      <c r="L732" s="862"/>
      <c r="M732" s="862"/>
    </row>
    <row r="733" spans="1:13" x14ac:dyDescent="0.2">
      <c r="A733" s="992"/>
      <c r="B733" s="944"/>
      <c r="C733" s="1009"/>
      <c r="D733" s="891">
        <f>+SUM(C727:C732)</f>
        <v>18</v>
      </c>
      <c r="E733" s="1023"/>
      <c r="F733" s="891">
        <f>+SUM(E727:E732)</f>
        <v>81.686899999999994</v>
      </c>
      <c r="G733" s="862"/>
      <c r="H733" s="862"/>
      <c r="I733" s="862"/>
      <c r="J733" s="862"/>
      <c r="K733" s="862"/>
      <c r="L733" s="862"/>
      <c r="M733" s="862"/>
    </row>
    <row r="734" spans="1:13" x14ac:dyDescent="0.2">
      <c r="A734" s="956"/>
      <c r="B734" s="944" t="s">
        <v>678</v>
      </c>
      <c r="C734" s="945"/>
      <c r="D734" s="852"/>
    </row>
    <row r="735" spans="1:13" x14ac:dyDescent="0.2">
      <c r="A735" s="956"/>
      <c r="B735" s="944" t="s">
        <v>679</v>
      </c>
      <c r="C735" s="945"/>
      <c r="D735" s="861"/>
      <c r="G735" s="862"/>
    </row>
    <row r="736" spans="1:13" x14ac:dyDescent="0.2">
      <c r="A736" s="956">
        <v>44401</v>
      </c>
      <c r="B736" s="934" t="s">
        <v>1254</v>
      </c>
      <c r="C736" s="852">
        <f>'[15]Input Sheet'!Q635</f>
        <v>20.403557200000002</v>
      </c>
      <c r="D736" s="852"/>
      <c r="E736" s="911">
        <v>19.470870300000001</v>
      </c>
    </row>
    <row r="737" spans="1:13" x14ac:dyDescent="0.2">
      <c r="A737" s="956">
        <v>46801</v>
      </c>
      <c r="B737" s="934" t="s">
        <v>1255</v>
      </c>
      <c r="C737" s="852">
        <f>'[15]Input Sheet'!Q677</f>
        <v>0</v>
      </c>
      <c r="D737" s="852"/>
      <c r="E737" s="911">
        <v>0</v>
      </c>
    </row>
    <row r="738" spans="1:13" x14ac:dyDescent="0.2">
      <c r="A738" s="956">
        <v>46802</v>
      </c>
      <c r="B738" s="934" t="s">
        <v>1256</v>
      </c>
      <c r="C738" s="852">
        <f>'[15]Input Sheet'!Q678</f>
        <v>0</v>
      </c>
      <c r="D738" s="852"/>
      <c r="E738" s="911">
        <v>0</v>
      </c>
    </row>
    <row r="739" spans="1:13" x14ac:dyDescent="0.2">
      <c r="A739" s="956">
        <v>46803</v>
      </c>
      <c r="B739" s="934" t="s">
        <v>1257</v>
      </c>
      <c r="C739" s="852">
        <f>'[15]Input Sheet'!Q679</f>
        <v>5.6553348999999997</v>
      </c>
      <c r="D739" s="852"/>
      <c r="E739" s="911">
        <v>4.3370850000000001</v>
      </c>
    </row>
    <row r="740" spans="1:13" x14ac:dyDescent="0.2">
      <c r="A740" s="956">
        <v>46804</v>
      </c>
      <c r="B740" s="934" t="s">
        <v>1258</v>
      </c>
      <c r="C740" s="852">
        <f>'[15]Input Sheet'!Q680</f>
        <v>0.1093209</v>
      </c>
      <c r="D740" s="852"/>
      <c r="E740" s="911">
        <v>5.4462000000000003E-2</v>
      </c>
    </row>
    <row r="741" spans="1:13" x14ac:dyDescent="0.2">
      <c r="A741" s="956">
        <v>46805</v>
      </c>
      <c r="B741" s="934" t="s">
        <v>1259</v>
      </c>
      <c r="C741" s="852">
        <f>'[15]Input Sheet'!Q681</f>
        <v>1.4825417999999999</v>
      </c>
      <c r="D741" s="852"/>
      <c r="E741" s="911">
        <v>1.2110301999999999</v>
      </c>
    </row>
    <row r="742" spans="1:13" x14ac:dyDescent="0.2">
      <c r="A742" s="956">
        <v>46806</v>
      </c>
      <c r="B742" s="934" t="s">
        <v>1260</v>
      </c>
      <c r="C742" s="852">
        <f>'[15]Input Sheet'!Q682</f>
        <v>2.2480894000000001E-2</v>
      </c>
      <c r="D742" s="852"/>
      <c r="E742" s="911">
        <v>1.94019E-2</v>
      </c>
    </row>
    <row r="743" spans="1:13" x14ac:dyDescent="0.2">
      <c r="A743" s="956">
        <v>46807</v>
      </c>
      <c r="B743" s="934" t="s">
        <v>1261</v>
      </c>
      <c r="C743" s="852">
        <f>'[15]Input Sheet'!Q683</f>
        <v>26.158834612</v>
      </c>
      <c r="D743" s="852"/>
      <c r="E743" s="911">
        <v>13.926456468000001</v>
      </c>
    </row>
    <row r="744" spans="1:13" x14ac:dyDescent="0.2">
      <c r="A744" s="956">
        <v>46808</v>
      </c>
      <c r="B744" s="934" t="s">
        <v>1262</v>
      </c>
      <c r="C744" s="852">
        <f>'[15]Input Sheet'!Q684</f>
        <v>-3.2223E-3</v>
      </c>
      <c r="D744" s="852"/>
      <c r="E744" s="911">
        <v>-3.2223E-3</v>
      </c>
      <c r="H744" s="243"/>
      <c r="I744" s="243"/>
      <c r="J744" s="243"/>
      <c r="K744" s="243"/>
      <c r="L744" s="243"/>
      <c r="M744" s="243"/>
    </row>
    <row r="745" spans="1:13" x14ac:dyDescent="0.2">
      <c r="A745" s="956">
        <v>46809</v>
      </c>
      <c r="B745" s="934" t="s">
        <v>1263</v>
      </c>
      <c r="C745" s="852">
        <f>'[15]Input Sheet'!Q685</f>
        <v>0.95011199999999996</v>
      </c>
      <c r="D745" s="852"/>
      <c r="E745" s="911">
        <v>0.50649469999999996</v>
      </c>
      <c r="H745" s="243"/>
      <c r="I745" s="243"/>
      <c r="J745" s="243"/>
      <c r="K745" s="243"/>
      <c r="L745" s="243"/>
      <c r="M745" s="243"/>
    </row>
    <row r="746" spans="1:13" x14ac:dyDescent="0.2">
      <c r="A746" s="956">
        <v>46810</v>
      </c>
      <c r="B746" s="856" t="s">
        <v>1264</v>
      </c>
      <c r="C746" s="852">
        <f>'[15]Input Sheet'!Q686</f>
        <v>0</v>
      </c>
      <c r="D746" s="852"/>
      <c r="E746" s="911">
        <v>0</v>
      </c>
      <c r="H746" s="243"/>
      <c r="I746" s="243"/>
      <c r="J746" s="243"/>
      <c r="K746" s="243"/>
      <c r="L746" s="243"/>
      <c r="M746" s="243"/>
    </row>
    <row r="747" spans="1:13" x14ac:dyDescent="0.2">
      <c r="A747" s="956">
        <v>46811</v>
      </c>
      <c r="B747" s="856" t="s">
        <v>1265</v>
      </c>
      <c r="C747" s="852">
        <f>'[15]Input Sheet'!Q687</f>
        <v>2.4852996840000001</v>
      </c>
      <c r="D747" s="852"/>
      <c r="E747" s="911">
        <v>2.809873434</v>
      </c>
      <c r="H747" s="243"/>
      <c r="I747" s="243"/>
      <c r="J747" s="243"/>
      <c r="K747" s="243"/>
      <c r="L747" s="243"/>
      <c r="M747" s="243"/>
    </row>
    <row r="748" spans="1:13" x14ac:dyDescent="0.2">
      <c r="A748" s="956"/>
      <c r="B748" s="934"/>
      <c r="C748" s="888">
        <f>SUM(C736:C747)</f>
        <v>57.264259690000003</v>
      </c>
      <c r="D748" s="888">
        <f>SUM(C736:C747)</f>
        <v>57.264259690000003</v>
      </c>
      <c r="E748" s="888">
        <f>SUM(E736:E747)</f>
        <v>42.332451702</v>
      </c>
      <c r="F748" s="888">
        <f>SUM(E736:E747)</f>
        <v>42.332451702</v>
      </c>
      <c r="H748" s="243"/>
      <c r="I748" s="243"/>
      <c r="J748" s="243"/>
      <c r="K748" s="243"/>
      <c r="L748" s="243"/>
      <c r="M748" s="243"/>
    </row>
    <row r="749" spans="1:13" ht="25.5" x14ac:dyDescent="0.2">
      <c r="A749" s="956"/>
      <c r="B749" s="1029" t="s">
        <v>1266</v>
      </c>
      <c r="C749" s="898"/>
      <c r="D749" s="861"/>
      <c r="G749" s="862"/>
      <c r="H749" s="243"/>
      <c r="I749" s="243"/>
      <c r="J749" s="243"/>
      <c r="K749" s="243"/>
      <c r="L749" s="243"/>
      <c r="M749" s="243"/>
    </row>
    <row r="750" spans="1:13" x14ac:dyDescent="0.2">
      <c r="A750" s="956">
        <v>46926</v>
      </c>
      <c r="B750" s="934" t="s">
        <v>1267</v>
      </c>
      <c r="C750" s="935">
        <f>+'[15]Input Sheet'!Q699</f>
        <v>1.300031347</v>
      </c>
      <c r="D750" s="852"/>
      <c r="E750" s="911">
        <v>0.61250196800000001</v>
      </c>
      <c r="H750" s="243"/>
      <c r="I750" s="243"/>
      <c r="J750" s="243"/>
      <c r="K750" s="243"/>
      <c r="L750" s="243"/>
      <c r="M750" s="243"/>
    </row>
    <row r="751" spans="1:13" x14ac:dyDescent="0.2">
      <c r="A751" s="956">
        <v>46927</v>
      </c>
      <c r="B751" s="934" t="s">
        <v>1268</v>
      </c>
      <c r="C751" s="935">
        <f>+'[15]Input Sheet'!Q700</f>
        <v>0</v>
      </c>
      <c r="D751" s="852"/>
      <c r="E751" s="911">
        <v>0</v>
      </c>
      <c r="H751" s="243"/>
      <c r="I751" s="243"/>
      <c r="J751" s="243"/>
      <c r="K751" s="243"/>
      <c r="L751" s="243"/>
      <c r="M751" s="243"/>
    </row>
    <row r="752" spans="1:13" x14ac:dyDescent="0.2">
      <c r="A752" s="956">
        <v>46928</v>
      </c>
      <c r="B752" s="934" t="s">
        <v>1269</v>
      </c>
      <c r="C752" s="935">
        <f>+'[15]Input Sheet'!Q701</f>
        <v>0</v>
      </c>
      <c r="D752" s="852"/>
      <c r="H752" s="243"/>
      <c r="I752" s="243"/>
      <c r="J752" s="243"/>
      <c r="K752" s="243"/>
      <c r="L752" s="243"/>
      <c r="M752" s="243"/>
    </row>
    <row r="753" spans="1:13" x14ac:dyDescent="0.2">
      <c r="A753" s="956">
        <v>46930</v>
      </c>
      <c r="B753" s="934" t="s">
        <v>1270</v>
      </c>
      <c r="C753" s="935">
        <f>+'[15]Input Sheet'!Q702</f>
        <v>0</v>
      </c>
      <c r="D753" s="900"/>
      <c r="E753" s="911">
        <v>0</v>
      </c>
      <c r="H753" s="243"/>
      <c r="I753" s="243"/>
      <c r="J753" s="243"/>
      <c r="K753" s="243"/>
      <c r="L753" s="243"/>
      <c r="M753" s="243"/>
    </row>
    <row r="754" spans="1:13" x14ac:dyDescent="0.2">
      <c r="A754" s="956"/>
      <c r="B754" s="934"/>
      <c r="C754" s="888">
        <f>SUM(C750:C753)</f>
        <v>1.300031347</v>
      </c>
      <c r="D754" s="852">
        <f>SUM(C750:C753)</f>
        <v>1.300031347</v>
      </c>
      <c r="E754" s="888">
        <f>SUM(E750:E753)</f>
        <v>0.61250196800000001</v>
      </c>
      <c r="F754" s="852">
        <f>SUM(E750:E753)</f>
        <v>0.61250196800000001</v>
      </c>
      <c r="H754" s="243"/>
      <c r="I754" s="243"/>
      <c r="J754" s="243"/>
      <c r="K754" s="243"/>
      <c r="L754" s="243"/>
      <c r="M754" s="243"/>
    </row>
    <row r="755" spans="1:13" x14ac:dyDescent="0.2">
      <c r="A755" s="956"/>
      <c r="B755" s="934"/>
      <c r="C755" s="935"/>
      <c r="D755" s="852"/>
      <c r="H755" s="243"/>
      <c r="I755" s="243"/>
      <c r="J755" s="243"/>
      <c r="K755" s="243"/>
      <c r="L755" s="243"/>
      <c r="M755" s="243"/>
    </row>
    <row r="756" spans="1:13" x14ac:dyDescent="0.2">
      <c r="A756" s="956"/>
      <c r="B756" s="934"/>
      <c r="C756" s="935"/>
      <c r="D756" s="852"/>
      <c r="G756" s="862"/>
      <c r="H756" s="243"/>
      <c r="I756" s="243"/>
      <c r="J756" s="243"/>
      <c r="K756" s="243"/>
      <c r="L756" s="243"/>
      <c r="M756" s="243"/>
    </row>
    <row r="757" spans="1:13" x14ac:dyDescent="0.2">
      <c r="A757" s="842"/>
      <c r="B757" s="944" t="s">
        <v>1271</v>
      </c>
      <c r="C757" s="945"/>
      <c r="D757" s="852"/>
      <c r="F757" s="1046"/>
      <c r="H757" s="243"/>
      <c r="I757" s="243"/>
      <c r="J757" s="243"/>
      <c r="K757" s="243"/>
      <c r="L757" s="243"/>
      <c r="M757" s="243"/>
    </row>
    <row r="758" spans="1:13" x14ac:dyDescent="0.2">
      <c r="A758" s="956">
        <v>46851</v>
      </c>
      <c r="B758" s="934" t="s">
        <v>1272</v>
      </c>
      <c r="C758" s="852">
        <f>'[15]Input Sheet'!Q689</f>
        <v>0</v>
      </c>
      <c r="D758" s="852"/>
      <c r="E758" s="911">
        <v>0</v>
      </c>
      <c r="F758" s="1955"/>
      <c r="H758" s="243"/>
      <c r="I758" s="243"/>
      <c r="J758" s="243"/>
      <c r="K758" s="243"/>
      <c r="L758" s="243"/>
      <c r="M758" s="243"/>
    </row>
    <row r="759" spans="1:13" x14ac:dyDescent="0.2">
      <c r="A759" s="956">
        <v>46852</v>
      </c>
      <c r="B759" s="934" t="s">
        <v>1273</v>
      </c>
      <c r="C759" s="852">
        <f>'[15]Input Sheet'!Q690</f>
        <v>0</v>
      </c>
      <c r="D759" s="852"/>
      <c r="E759" s="911">
        <v>0</v>
      </c>
      <c r="F759" s="1955"/>
      <c r="H759" s="243"/>
      <c r="I759" s="243"/>
      <c r="J759" s="243"/>
      <c r="K759" s="243"/>
      <c r="L759" s="243"/>
      <c r="M759" s="243"/>
    </row>
    <row r="760" spans="1:13" x14ac:dyDescent="0.2">
      <c r="A760" s="956">
        <v>46853</v>
      </c>
      <c r="B760" s="934" t="s">
        <v>1274</v>
      </c>
      <c r="C760" s="852">
        <f>'[15]Input Sheet'!Q691</f>
        <v>0</v>
      </c>
      <c r="D760" s="852"/>
      <c r="E760" s="911">
        <v>0</v>
      </c>
      <c r="F760" s="1955"/>
      <c r="I760" s="243"/>
      <c r="J760" s="243"/>
      <c r="K760" s="243"/>
      <c r="L760" s="243"/>
      <c r="M760" s="243"/>
    </row>
    <row r="761" spans="1:13" x14ac:dyDescent="0.2">
      <c r="A761" s="956">
        <v>46936</v>
      </c>
      <c r="B761" s="934" t="s">
        <v>1275</v>
      </c>
      <c r="C761" s="852">
        <f>'[15]Input Sheet'!Q703</f>
        <v>0</v>
      </c>
      <c r="D761" s="852"/>
      <c r="F761" s="1046"/>
      <c r="I761" s="243"/>
      <c r="J761" s="243"/>
      <c r="K761" s="243"/>
      <c r="L761" s="243"/>
      <c r="M761" s="243"/>
    </row>
    <row r="762" spans="1:13" x14ac:dyDescent="0.2">
      <c r="A762" s="956">
        <v>46937</v>
      </c>
      <c r="B762" s="934" t="s">
        <v>1276</v>
      </c>
      <c r="C762" s="852">
        <f>'[15]Input Sheet'!Q704</f>
        <v>0</v>
      </c>
      <c r="D762" s="852"/>
      <c r="E762" s="911">
        <v>0</v>
      </c>
      <c r="F762" s="1046"/>
      <c r="I762" s="243"/>
      <c r="J762" s="243"/>
      <c r="K762" s="243"/>
      <c r="L762" s="243"/>
      <c r="M762" s="243"/>
    </row>
    <row r="763" spans="1:13" x14ac:dyDescent="0.2">
      <c r="A763" s="956">
        <v>46938</v>
      </c>
      <c r="B763" s="934" t="s">
        <v>1277</v>
      </c>
      <c r="C763" s="852">
        <f>'[15]Input Sheet'!Q705</f>
        <v>0</v>
      </c>
      <c r="D763" s="852"/>
      <c r="E763" s="911">
        <v>0</v>
      </c>
      <c r="F763" s="1046"/>
      <c r="I763" s="243"/>
      <c r="J763" s="243"/>
      <c r="K763" s="243"/>
      <c r="L763" s="243"/>
      <c r="M763" s="243"/>
    </row>
    <row r="764" spans="1:13" x14ac:dyDescent="0.2">
      <c r="A764" s="956">
        <v>46939</v>
      </c>
      <c r="B764" s="934" t="s">
        <v>1278</v>
      </c>
      <c r="C764" s="852">
        <f>'[15]Input Sheet'!Q706</f>
        <v>0</v>
      </c>
      <c r="D764" s="852"/>
      <c r="E764" s="911">
        <v>0</v>
      </c>
      <c r="F764" s="1046"/>
      <c r="I764" s="243"/>
      <c r="J764" s="243"/>
      <c r="K764" s="243"/>
      <c r="L764" s="243"/>
      <c r="M764" s="243"/>
    </row>
    <row r="765" spans="1:13" x14ac:dyDescent="0.2">
      <c r="A765" s="956">
        <v>46940</v>
      </c>
      <c r="B765" s="934" t="s">
        <v>1279</v>
      </c>
      <c r="C765" s="900">
        <f>'[15]Input Sheet'!Q707</f>
        <v>0</v>
      </c>
      <c r="D765" s="852"/>
      <c r="E765" s="1047">
        <v>0</v>
      </c>
      <c r="F765" s="1046"/>
      <c r="I765" s="243"/>
      <c r="J765" s="243"/>
      <c r="K765" s="243"/>
      <c r="L765" s="243"/>
      <c r="M765" s="243"/>
    </row>
    <row r="766" spans="1:13" x14ac:dyDescent="0.2">
      <c r="A766" s="956"/>
      <c r="B766" s="934"/>
      <c r="C766" s="935">
        <f>SUM(C758:C765)</f>
        <v>0</v>
      </c>
      <c r="D766" s="852"/>
      <c r="E766" s="935">
        <f>SUM(E758:E765)</f>
        <v>0</v>
      </c>
      <c r="I766" s="243"/>
      <c r="J766" s="243"/>
      <c r="K766" s="243"/>
      <c r="L766" s="243"/>
      <c r="M766" s="243"/>
    </row>
    <row r="767" spans="1:13" x14ac:dyDescent="0.2">
      <c r="A767" s="842"/>
      <c r="B767" s="936" t="s">
        <v>1280</v>
      </c>
      <c r="C767" s="935"/>
      <c r="D767" s="852"/>
      <c r="I767" s="243"/>
      <c r="J767" s="243"/>
      <c r="K767" s="243"/>
      <c r="L767" s="243"/>
      <c r="M767" s="243"/>
    </row>
    <row r="768" spans="1:13" x14ac:dyDescent="0.2">
      <c r="A768" s="842">
        <v>46300</v>
      </c>
      <c r="B768" s="934" t="s">
        <v>1281</v>
      </c>
      <c r="C768" s="935">
        <f>+'[15]Input Sheet'!Q656</f>
        <v>0.16045768999999999</v>
      </c>
      <c r="D768" s="852"/>
      <c r="E768" s="911">
        <v>9.6231115000000006E-2</v>
      </c>
      <c r="I768" s="243"/>
      <c r="J768" s="243"/>
      <c r="K768" s="243"/>
      <c r="L768" s="243"/>
      <c r="M768" s="243"/>
    </row>
    <row r="769" spans="1:13" x14ac:dyDescent="0.2">
      <c r="A769" s="842">
        <v>46302</v>
      </c>
      <c r="B769" s="934" t="s">
        <v>1282</v>
      </c>
      <c r="C769" s="935">
        <f>+'[15]Input Sheet'!Q658</f>
        <v>2.8625019999999998E-3</v>
      </c>
      <c r="D769" s="852"/>
      <c r="E769" s="911">
        <v>1.963626E-3</v>
      </c>
      <c r="I769" s="243"/>
      <c r="J769" s="243"/>
      <c r="K769" s="243"/>
      <c r="L769" s="243"/>
      <c r="M769" s="243"/>
    </row>
    <row r="770" spans="1:13" x14ac:dyDescent="0.2">
      <c r="A770" s="842"/>
      <c r="B770" s="934"/>
      <c r="C770" s="989">
        <f>SUM(C768:C769)</f>
        <v>0.16332019199999998</v>
      </c>
      <c r="D770" s="888">
        <f>+C766+C770</f>
        <v>0.16332019199999998</v>
      </c>
      <c r="E770" s="989">
        <f>SUM(E768:E769)</f>
        <v>9.8194741000000002E-2</v>
      </c>
      <c r="F770" s="888">
        <f>+E766+E770</f>
        <v>9.8194741000000002E-2</v>
      </c>
      <c r="I770" s="243"/>
      <c r="J770" s="243"/>
      <c r="K770" s="243"/>
      <c r="L770" s="243"/>
      <c r="M770" s="243"/>
    </row>
    <row r="771" spans="1:13" x14ac:dyDescent="0.2">
      <c r="A771" s="956"/>
      <c r="B771" s="936" t="s">
        <v>1283</v>
      </c>
      <c r="C771" s="937"/>
      <c r="D771" s="861"/>
      <c r="E771" s="1023"/>
      <c r="F771" s="1023"/>
      <c r="G771" s="862"/>
      <c r="I771" s="243"/>
      <c r="J771" s="243"/>
      <c r="K771" s="243"/>
      <c r="L771" s="243"/>
      <c r="M771" s="243"/>
    </row>
    <row r="772" spans="1:13" x14ac:dyDescent="0.2">
      <c r="A772" s="842">
        <v>46854</v>
      </c>
      <c r="B772" s="934" t="s">
        <v>1284</v>
      </c>
      <c r="C772" s="852">
        <f>'[15]Input Sheet'!Q692</f>
        <v>11.969886935</v>
      </c>
      <c r="D772" s="852"/>
      <c r="E772" s="911">
        <v>12.586332901</v>
      </c>
      <c r="H772" s="836" t="s">
        <v>1285</v>
      </c>
      <c r="I772" s="243"/>
      <c r="J772" s="243"/>
      <c r="K772" s="243"/>
      <c r="L772" s="243"/>
      <c r="M772" s="243"/>
    </row>
    <row r="773" spans="1:13" x14ac:dyDescent="0.2">
      <c r="A773" s="842">
        <v>46855</v>
      </c>
      <c r="B773" s="934" t="s">
        <v>1286</v>
      </c>
      <c r="C773" s="852">
        <f>'[15]Input Sheet'!Q693</f>
        <v>11.969001536</v>
      </c>
      <c r="D773" s="852"/>
      <c r="E773" s="911">
        <v>12.585642601</v>
      </c>
      <c r="I773" s="243"/>
      <c r="J773" s="243"/>
      <c r="K773" s="243"/>
      <c r="L773" s="243"/>
      <c r="M773" s="243"/>
    </row>
    <row r="774" spans="1:13" x14ac:dyDescent="0.2">
      <c r="A774" s="842">
        <v>46856</v>
      </c>
      <c r="B774" s="934" t="s">
        <v>1285</v>
      </c>
      <c r="C774" s="852">
        <f>'[15]Input Sheet'!Q694</f>
        <v>0.85218722799999991</v>
      </c>
      <c r="D774" s="852"/>
      <c r="E774" s="911">
        <v>0.312431827</v>
      </c>
      <c r="I774" s="243"/>
      <c r="J774" s="243"/>
      <c r="K774" s="243"/>
      <c r="L774" s="243"/>
      <c r="M774" s="243"/>
    </row>
    <row r="775" spans="1:13" x14ac:dyDescent="0.2">
      <c r="A775" s="856">
        <v>46861</v>
      </c>
      <c r="B775" s="856" t="s">
        <v>1287</v>
      </c>
      <c r="C775" s="852">
        <f>'[15]Input Sheet'!Q695</f>
        <v>8.9425399569999993</v>
      </c>
      <c r="D775" s="852"/>
      <c r="E775" s="911">
        <v>7.6431736069999996</v>
      </c>
      <c r="I775" s="243"/>
      <c r="J775" s="243"/>
      <c r="K775" s="243"/>
      <c r="L775" s="243"/>
      <c r="M775" s="243"/>
    </row>
    <row r="776" spans="1:13" x14ac:dyDescent="0.2">
      <c r="A776" s="856">
        <v>46862</v>
      </c>
      <c r="B776" s="856" t="s">
        <v>1288</v>
      </c>
      <c r="C776" s="852">
        <f>'[15]Input Sheet'!Q696</f>
        <v>8.9425399569999993</v>
      </c>
      <c r="D776" s="852"/>
      <c r="E776" s="911">
        <v>7.6471400069999991</v>
      </c>
      <c r="G776" s="243"/>
      <c r="H776" s="243"/>
      <c r="I776" s="243"/>
      <c r="J776" s="243"/>
      <c r="K776" s="243"/>
      <c r="L776" s="243"/>
      <c r="M776" s="243"/>
    </row>
    <row r="777" spans="1:13" x14ac:dyDescent="0.2">
      <c r="A777" s="856">
        <v>46863</v>
      </c>
      <c r="B777" s="856" t="s">
        <v>1289</v>
      </c>
      <c r="C777" s="852">
        <f>'[15]Input Sheet'!Q697</f>
        <v>16.614765618</v>
      </c>
      <c r="D777" s="852"/>
      <c r="E777" s="911">
        <v>17.350511218000001</v>
      </c>
      <c r="G777" s="243"/>
      <c r="H777" s="243"/>
      <c r="I777" s="243"/>
      <c r="J777" s="243"/>
      <c r="K777" s="243"/>
      <c r="L777" s="243"/>
      <c r="M777" s="243"/>
    </row>
    <row r="778" spans="1:13" x14ac:dyDescent="0.2">
      <c r="A778" s="856">
        <v>46864</v>
      </c>
      <c r="B778" s="856" t="s">
        <v>1290</v>
      </c>
      <c r="C778" s="852">
        <f>'[15]Input Sheet'!Q698</f>
        <v>0</v>
      </c>
      <c r="D778" s="852"/>
      <c r="E778" s="911">
        <v>0</v>
      </c>
      <c r="G778" s="243"/>
      <c r="H778" s="243"/>
      <c r="I778" s="243"/>
      <c r="J778" s="243"/>
      <c r="K778" s="243"/>
      <c r="L778" s="243"/>
      <c r="M778" s="243"/>
    </row>
    <row r="779" spans="1:13" x14ac:dyDescent="0.2">
      <c r="A779" s="842">
        <v>46941</v>
      </c>
      <c r="B779" s="934" t="s">
        <v>1291</v>
      </c>
      <c r="C779" s="852">
        <f>'[15]Input Sheet'!Q708</f>
        <v>1.0565932090000001</v>
      </c>
      <c r="D779" s="852"/>
      <c r="E779" s="911">
        <v>0.11946757299999999</v>
      </c>
      <c r="G779" s="243"/>
      <c r="H779" s="243"/>
      <c r="I779" s="243"/>
      <c r="J779" s="243"/>
      <c r="K779" s="243"/>
      <c r="L779" s="243"/>
      <c r="M779" s="243"/>
    </row>
    <row r="780" spans="1:13" x14ac:dyDescent="0.2">
      <c r="A780" s="842">
        <v>46942</v>
      </c>
      <c r="B780" s="934" t="s">
        <v>1292</v>
      </c>
      <c r="C780" s="852">
        <f>'[15]Input Sheet'!Q709</f>
        <v>1.056593109</v>
      </c>
      <c r="D780" s="852"/>
      <c r="E780" s="911">
        <v>0.119491782</v>
      </c>
      <c r="G780" s="243"/>
      <c r="H780" s="243"/>
      <c r="I780" s="243"/>
      <c r="J780" s="243"/>
      <c r="K780" s="243"/>
      <c r="L780" s="243"/>
      <c r="M780" s="243"/>
    </row>
    <row r="781" spans="1:13" x14ac:dyDescent="0.2">
      <c r="A781" s="842">
        <v>46943</v>
      </c>
      <c r="B781" s="934" t="s">
        <v>1293</v>
      </c>
      <c r="C781" s="852">
        <f>'[15]Input Sheet'!Q710</f>
        <v>-2.3398795649999999</v>
      </c>
      <c r="D781" s="852"/>
      <c r="E781" s="911">
        <v>-0.30690197299999999</v>
      </c>
      <c r="G781" s="243"/>
      <c r="H781" s="243"/>
      <c r="I781" s="243"/>
      <c r="J781" s="243"/>
      <c r="K781" s="243"/>
      <c r="L781" s="243"/>
      <c r="M781" s="243"/>
    </row>
    <row r="782" spans="1:13" x14ac:dyDescent="0.2">
      <c r="A782" s="856">
        <v>46944</v>
      </c>
      <c r="B782" s="856" t="s">
        <v>1294</v>
      </c>
      <c r="C782" s="852">
        <f>'[15]Input Sheet'!Q711</f>
        <v>0</v>
      </c>
      <c r="D782" s="852"/>
      <c r="E782" s="911">
        <v>0</v>
      </c>
      <c r="G782" s="243"/>
      <c r="H782" s="243"/>
      <c r="I782" s="243"/>
      <c r="J782" s="243"/>
      <c r="K782" s="243"/>
      <c r="L782" s="243"/>
      <c r="M782" s="243"/>
    </row>
    <row r="783" spans="1:13" x14ac:dyDescent="0.2">
      <c r="A783" s="856">
        <v>46945</v>
      </c>
      <c r="B783" s="856" t="s">
        <v>1295</v>
      </c>
      <c r="C783" s="852">
        <f>'[15]Input Sheet'!Q712</f>
        <v>0</v>
      </c>
      <c r="D783" s="852"/>
      <c r="E783" s="911">
        <v>0</v>
      </c>
      <c r="G783" s="243"/>
      <c r="H783" s="243"/>
      <c r="I783" s="243"/>
      <c r="J783" s="243"/>
      <c r="K783" s="243"/>
      <c r="L783" s="243"/>
      <c r="M783" s="243"/>
    </row>
    <row r="784" spans="1:13" x14ac:dyDescent="0.2">
      <c r="A784" s="842">
        <v>46946</v>
      </c>
      <c r="B784" s="934" t="s">
        <v>1293</v>
      </c>
      <c r="C784" s="852">
        <f>'[15]Input Sheet'!Q713</f>
        <v>0</v>
      </c>
      <c r="D784" s="852"/>
      <c r="E784" s="911">
        <v>4.0000000000000001E-8</v>
      </c>
      <c r="G784" s="243"/>
      <c r="H784" s="243"/>
      <c r="I784" s="243"/>
      <c r="J784" s="243"/>
      <c r="K784" s="243"/>
      <c r="L784" s="243"/>
      <c r="M784" s="243"/>
    </row>
    <row r="785" spans="1:13" x14ac:dyDescent="0.2">
      <c r="A785" s="842">
        <v>46947</v>
      </c>
      <c r="B785" s="934" t="s">
        <v>1293</v>
      </c>
      <c r="C785" s="852">
        <f>'[15]Input Sheet'!Q714</f>
        <v>0.35220204300000002</v>
      </c>
      <c r="D785" s="852"/>
      <c r="E785" s="911">
        <v>-1.9499999999999999E-7</v>
      </c>
      <c r="G785" s="243"/>
      <c r="H785" s="243"/>
      <c r="I785" s="243"/>
      <c r="J785" s="243"/>
      <c r="K785" s="243"/>
      <c r="L785" s="243"/>
      <c r="M785" s="243"/>
    </row>
    <row r="786" spans="1:13" x14ac:dyDescent="0.2">
      <c r="A786" s="842">
        <v>46948</v>
      </c>
      <c r="B786" s="934" t="s">
        <v>1293</v>
      </c>
      <c r="C786" s="852">
        <f>'[15]Input Sheet'!Q715</f>
        <v>0.352202238</v>
      </c>
      <c r="D786" s="852"/>
      <c r="E786" s="911">
        <v>0</v>
      </c>
      <c r="G786" s="243"/>
      <c r="H786" s="243"/>
      <c r="I786" s="243"/>
      <c r="J786" s="243"/>
      <c r="K786" s="243"/>
      <c r="L786" s="243"/>
      <c r="M786" s="243"/>
    </row>
    <row r="787" spans="1:13" x14ac:dyDescent="0.2">
      <c r="A787" s="842">
        <v>46949</v>
      </c>
      <c r="B787" s="856" t="s">
        <v>1296</v>
      </c>
      <c r="C787" s="852">
        <f>'[15]Input Sheet'!Q716</f>
        <v>0</v>
      </c>
      <c r="D787" s="852"/>
      <c r="E787" s="911">
        <v>0</v>
      </c>
      <c r="G787" s="243"/>
      <c r="H787" s="243"/>
      <c r="I787" s="243"/>
      <c r="J787" s="243"/>
      <c r="K787" s="243"/>
      <c r="L787" s="243"/>
      <c r="M787" s="243"/>
    </row>
    <row r="788" spans="1:13" x14ac:dyDescent="0.2">
      <c r="A788" s="842">
        <v>46950</v>
      </c>
      <c r="B788" s="934" t="s">
        <v>1293</v>
      </c>
      <c r="C788" s="852">
        <f>'[15]Input Sheet'!Q717</f>
        <v>18.764079599999999</v>
      </c>
      <c r="D788" s="852"/>
      <c r="E788" s="911">
        <v>0.66904633899999999</v>
      </c>
      <c r="F788" s="848"/>
      <c r="G788" s="243"/>
      <c r="H788" s="243"/>
      <c r="I788" s="243"/>
      <c r="J788" s="243"/>
      <c r="K788" s="243"/>
      <c r="L788" s="243"/>
      <c r="M788" s="243"/>
    </row>
    <row r="789" spans="1:13" x14ac:dyDescent="0.2">
      <c r="A789" s="842"/>
      <c r="B789" s="934"/>
      <c r="C789" s="946">
        <f>SUM(C772:C788)</f>
        <v>78.532711864999996</v>
      </c>
      <c r="D789" s="852"/>
      <c r="E789" s="946">
        <f>SUM(E772:E788)</f>
        <v>58.726335726999999</v>
      </c>
      <c r="F789" s="852"/>
      <c r="G789" s="243"/>
      <c r="H789" s="243"/>
      <c r="I789" s="243"/>
      <c r="J789" s="243"/>
      <c r="K789" s="243"/>
      <c r="L789" s="243"/>
      <c r="M789" s="243"/>
    </row>
    <row r="790" spans="1:13" x14ac:dyDescent="0.2">
      <c r="A790" s="842">
        <v>28851</v>
      </c>
      <c r="B790" s="1039" t="s">
        <v>1297</v>
      </c>
      <c r="C790" s="898">
        <f>+'[15]Input Sheet'!Q529</f>
        <v>0.165316462</v>
      </c>
      <c r="D790" s="852"/>
      <c r="E790" s="874">
        <v>-4.0000000000000001E-8</v>
      </c>
      <c r="F790" s="874"/>
      <c r="G790" s="243"/>
      <c r="H790" s="243"/>
      <c r="I790" s="243"/>
      <c r="J790" s="243"/>
      <c r="K790" s="243"/>
      <c r="L790" s="243"/>
      <c r="M790" s="243"/>
    </row>
    <row r="791" spans="1:13" x14ac:dyDescent="0.2">
      <c r="A791" s="842">
        <v>28852</v>
      </c>
      <c r="B791" s="1039" t="s">
        <v>1298</v>
      </c>
      <c r="C791" s="898">
        <f>+'[15]Input Sheet'!Q530</f>
        <v>0.165316462</v>
      </c>
      <c r="D791" s="852"/>
      <c r="E791" s="874">
        <v>-4.0000000000000001E-8</v>
      </c>
      <c r="F791" s="874"/>
      <c r="G791" s="243"/>
      <c r="H791" s="243"/>
      <c r="I791" s="243"/>
      <c r="J791" s="243"/>
      <c r="K791" s="243"/>
      <c r="L791" s="243"/>
      <c r="M791" s="243"/>
    </row>
    <row r="792" spans="1:13" x14ac:dyDescent="0.2">
      <c r="A792" s="842">
        <v>28853</v>
      </c>
      <c r="B792" s="818" t="s">
        <v>1299</v>
      </c>
      <c r="C792" s="898">
        <f>+'[15]Input Sheet'!Q531</f>
        <v>3.4776E-3</v>
      </c>
      <c r="D792" s="852"/>
      <c r="E792" s="874">
        <v>-6.1887399999999999E-3</v>
      </c>
      <c r="F792" s="874"/>
      <c r="H792" s="243"/>
      <c r="I792" s="243"/>
      <c r="J792" s="243"/>
      <c r="K792" s="243"/>
      <c r="L792" s="243"/>
      <c r="M792" s="243"/>
    </row>
    <row r="793" spans="1:13" x14ac:dyDescent="0.2">
      <c r="A793" s="856">
        <v>28854</v>
      </c>
      <c r="B793" s="856" t="s">
        <v>1300</v>
      </c>
      <c r="C793" s="898">
        <f>+'[15]Input Sheet'!Q532</f>
        <v>1.3162099999999999E-2</v>
      </c>
      <c r="D793" s="852"/>
      <c r="E793" s="874">
        <v>8.5900422000000004E-2</v>
      </c>
      <c r="F793" s="874"/>
      <c r="H793" s="243"/>
      <c r="I793" s="243"/>
      <c r="J793" s="243"/>
      <c r="K793" s="243"/>
      <c r="L793" s="243"/>
      <c r="M793" s="243"/>
    </row>
    <row r="794" spans="1:13" x14ac:dyDescent="0.2">
      <c r="A794" s="856">
        <v>28855</v>
      </c>
      <c r="B794" s="856" t="s">
        <v>1301</v>
      </c>
      <c r="C794" s="898">
        <f>+'[15]Input Sheet'!Q533</f>
        <v>1.3162200000000001E-2</v>
      </c>
      <c r="D794" s="852"/>
      <c r="E794" s="874">
        <v>8.5900422000000004E-2</v>
      </c>
      <c r="F794" s="874"/>
      <c r="H794" s="243"/>
      <c r="I794" s="243"/>
      <c r="J794" s="243"/>
      <c r="K794" s="243"/>
      <c r="L794" s="243"/>
      <c r="M794" s="243"/>
    </row>
    <row r="795" spans="1:13" x14ac:dyDescent="0.2">
      <c r="A795" s="856">
        <v>28856</v>
      </c>
      <c r="B795" s="856" t="s">
        <v>1302</v>
      </c>
      <c r="C795" s="898">
        <f>+'[15]Input Sheet'!Q534</f>
        <v>0</v>
      </c>
      <c r="D795" s="852"/>
      <c r="E795" s="874">
        <v>0</v>
      </c>
      <c r="F795" s="874"/>
      <c r="H795" s="243"/>
      <c r="I795" s="243"/>
      <c r="J795" s="243"/>
      <c r="K795" s="243"/>
      <c r="L795" s="243"/>
      <c r="M795" s="243"/>
    </row>
    <row r="796" spans="1:13" x14ac:dyDescent="0.2">
      <c r="A796" s="856">
        <v>28857</v>
      </c>
      <c r="B796" s="856" t="s">
        <v>1303</v>
      </c>
      <c r="C796" s="898">
        <f>+'[15]Input Sheet'!Q535</f>
        <v>0</v>
      </c>
      <c r="D796" s="852"/>
      <c r="E796" s="874">
        <v>0.65784640400000005</v>
      </c>
      <c r="F796" s="874"/>
      <c r="H796" s="243"/>
      <c r="I796" s="243"/>
      <c r="J796" s="243"/>
      <c r="K796" s="243"/>
      <c r="L796" s="243"/>
      <c r="M796" s="243"/>
    </row>
    <row r="797" spans="1:13" x14ac:dyDescent="0.2">
      <c r="A797" s="856">
        <v>28858</v>
      </c>
      <c r="B797" s="856" t="s">
        <v>1304</v>
      </c>
      <c r="C797" s="898">
        <f>+'[15]Input Sheet'!Q536</f>
        <v>5.5000000000000003E-8</v>
      </c>
      <c r="D797" s="852"/>
      <c r="E797" s="874">
        <v>0.10361361899999999</v>
      </c>
      <c r="F797" s="874"/>
      <c r="H797" s="243"/>
      <c r="I797" s="243"/>
      <c r="J797" s="243"/>
      <c r="K797" s="243"/>
      <c r="L797" s="243"/>
      <c r="M797" s="243"/>
    </row>
    <row r="798" spans="1:13" x14ac:dyDescent="0.2">
      <c r="A798" s="856">
        <v>28859</v>
      </c>
      <c r="B798" s="856" t="s">
        <v>1305</v>
      </c>
      <c r="C798" s="898">
        <f>+'[15]Input Sheet'!Q537</f>
        <v>5.5000000000000003E-8</v>
      </c>
      <c r="D798" s="852"/>
      <c r="E798" s="874">
        <v>0.10361361899999999</v>
      </c>
      <c r="F798" s="874"/>
      <c r="H798" s="243"/>
      <c r="I798" s="243"/>
      <c r="J798" s="243"/>
      <c r="K798" s="243"/>
      <c r="L798" s="243"/>
      <c r="M798" s="243"/>
    </row>
    <row r="799" spans="1:13" ht="15" x14ac:dyDescent="0.25">
      <c r="A799" s="1048">
        <v>28861</v>
      </c>
      <c r="B799" s="1048" t="s">
        <v>1306</v>
      </c>
      <c r="C799" s="898">
        <f>+'[15]Input Sheet'!Q538</f>
        <v>1.7968899999999999E-2</v>
      </c>
      <c r="D799" s="852"/>
      <c r="E799" s="874"/>
      <c r="F799" s="874"/>
      <c r="H799" s="243"/>
      <c r="I799" s="243"/>
      <c r="J799" s="243"/>
      <c r="K799" s="243"/>
      <c r="L799" s="243"/>
      <c r="M799" s="243"/>
    </row>
    <row r="800" spans="1:13" ht="15" x14ac:dyDescent="0.25">
      <c r="A800" s="1048">
        <v>28862</v>
      </c>
      <c r="B800" s="1048" t="s">
        <v>1307</v>
      </c>
      <c r="C800" s="898">
        <f>+'[15]Input Sheet'!Q539</f>
        <v>1.7968899999999999E-2</v>
      </c>
      <c r="D800" s="852"/>
      <c r="E800" s="874"/>
      <c r="F800" s="874"/>
      <c r="H800" s="243"/>
      <c r="I800" s="243"/>
      <c r="J800" s="243"/>
      <c r="K800" s="243"/>
      <c r="L800" s="243"/>
      <c r="M800" s="243"/>
    </row>
    <row r="801" spans="1:13" ht="15" x14ac:dyDescent="0.25">
      <c r="A801" s="1048">
        <v>28863</v>
      </c>
      <c r="B801" s="1048" t="s">
        <v>1308</v>
      </c>
      <c r="C801" s="898">
        <f>+'[15]Input Sheet'!Q540</f>
        <v>8.0999999999999996E-4</v>
      </c>
      <c r="D801" s="852"/>
      <c r="E801" s="874"/>
      <c r="F801" s="874"/>
      <c r="H801" s="243"/>
      <c r="I801" s="243"/>
      <c r="J801" s="243"/>
      <c r="K801" s="243"/>
      <c r="L801" s="243"/>
      <c r="M801" s="243"/>
    </row>
    <row r="802" spans="1:13" x14ac:dyDescent="0.2">
      <c r="A802" s="856">
        <v>28880</v>
      </c>
      <c r="B802" s="856" t="s">
        <v>1309</v>
      </c>
      <c r="C802" s="898">
        <f>+'[15]Input Sheet'!Q541</f>
        <v>0.100330376</v>
      </c>
      <c r="D802" s="852"/>
      <c r="E802" s="874">
        <v>0.20380018999999999</v>
      </c>
      <c r="F802" s="874"/>
      <c r="H802" s="243"/>
      <c r="I802" s="243"/>
      <c r="J802" s="243"/>
      <c r="K802" s="243"/>
      <c r="L802" s="243"/>
      <c r="M802" s="243"/>
    </row>
    <row r="803" spans="1:13" x14ac:dyDescent="0.2">
      <c r="A803" s="856">
        <v>28881</v>
      </c>
      <c r="B803" s="856" t="s">
        <v>1310</v>
      </c>
      <c r="C803" s="898">
        <f>+'[15]Input Sheet'!Q542</f>
        <v>0</v>
      </c>
      <c r="D803" s="852"/>
      <c r="E803" s="874">
        <v>1.3000000000000001E-8</v>
      </c>
      <c r="F803" s="874"/>
      <c r="H803" s="243"/>
      <c r="I803" s="243"/>
      <c r="J803" s="243"/>
      <c r="K803" s="243"/>
      <c r="L803" s="243"/>
      <c r="M803" s="243"/>
    </row>
    <row r="804" spans="1:13" x14ac:dyDescent="0.2">
      <c r="A804" s="856">
        <v>28882</v>
      </c>
      <c r="B804" s="856" t="s">
        <v>1311</v>
      </c>
      <c r="C804" s="898">
        <f>+'[15]Input Sheet'!Q543</f>
        <v>0</v>
      </c>
      <c r="D804" s="852"/>
      <c r="E804" s="874">
        <v>1.3000000000000001E-8</v>
      </c>
      <c r="F804" s="874"/>
      <c r="H804" s="243"/>
      <c r="I804" s="243"/>
      <c r="J804" s="243"/>
      <c r="K804" s="243"/>
      <c r="L804" s="243"/>
      <c r="M804" s="243"/>
    </row>
    <row r="805" spans="1:13" ht="15" x14ac:dyDescent="0.25">
      <c r="A805" s="856">
        <v>28883</v>
      </c>
      <c r="B805" s="1049" t="s">
        <v>1312</v>
      </c>
      <c r="C805" s="1050">
        <f>+'[15]Input Sheet'!Q544</f>
        <v>0</v>
      </c>
      <c r="D805" s="900"/>
      <c r="E805" s="901">
        <v>3.1E-8</v>
      </c>
      <c r="F805" s="901"/>
      <c r="H805" s="243"/>
      <c r="I805" s="243"/>
      <c r="J805" s="243"/>
      <c r="K805" s="243"/>
      <c r="L805" s="243"/>
      <c r="M805" s="243"/>
    </row>
    <row r="806" spans="1:13" ht="15" x14ac:dyDescent="0.25">
      <c r="A806" s="856"/>
      <c r="B806" s="1049"/>
      <c r="C806" s="952">
        <f>SUM(C790:C805)</f>
        <v>0.49751311000000004</v>
      </c>
      <c r="D806" s="852">
        <f>C789-C806</f>
        <v>78.035198754999996</v>
      </c>
      <c r="E806" s="952">
        <f>SUM(E790:E805)</f>
        <v>1.2344859129999999</v>
      </c>
      <c r="F806" s="852">
        <f>E789-E806</f>
        <v>57.491849813999998</v>
      </c>
      <c r="H806" s="243"/>
      <c r="I806" s="243"/>
      <c r="J806" s="243"/>
      <c r="K806" s="243"/>
      <c r="L806" s="243"/>
      <c r="M806" s="243"/>
    </row>
    <row r="807" spans="1:13" ht="15" x14ac:dyDescent="0.25">
      <c r="A807" s="856"/>
      <c r="B807" s="1049"/>
      <c r="C807" s="952"/>
      <c r="D807" s="852"/>
      <c r="E807" s="1051"/>
      <c r="H807" s="243"/>
      <c r="I807" s="243"/>
      <c r="J807" s="243"/>
      <c r="K807" s="243"/>
      <c r="L807" s="243"/>
      <c r="M807" s="243"/>
    </row>
    <row r="808" spans="1:13" x14ac:dyDescent="0.2">
      <c r="A808" s="842">
        <v>46820</v>
      </c>
      <c r="B808" s="934" t="s">
        <v>1313</v>
      </c>
      <c r="C808" s="935"/>
      <c r="D808" s="852">
        <f>'[15]Input Sheet'!Q688</f>
        <v>0</v>
      </c>
      <c r="E808" s="1023"/>
      <c r="F808" s="1023"/>
      <c r="G808" s="862"/>
      <c r="H808" s="243"/>
      <c r="I808" s="243"/>
      <c r="J808" s="243"/>
      <c r="K808" s="243"/>
      <c r="L808" s="243"/>
      <c r="M808" s="243"/>
    </row>
    <row r="809" spans="1:13" x14ac:dyDescent="0.2">
      <c r="A809" s="842"/>
      <c r="B809" s="936"/>
      <c r="C809" s="937"/>
      <c r="D809" s="861"/>
      <c r="E809" s="1023"/>
      <c r="F809" s="1023"/>
      <c r="G809" s="862"/>
      <c r="H809" s="243"/>
      <c r="I809" s="243"/>
      <c r="J809" s="243"/>
      <c r="K809" s="243"/>
      <c r="L809" s="243"/>
      <c r="M809" s="243"/>
    </row>
    <row r="810" spans="1:13" x14ac:dyDescent="0.2">
      <c r="A810" s="956">
        <v>44407</v>
      </c>
      <c r="B810" s="934" t="s">
        <v>1314</v>
      </c>
      <c r="C810" s="935"/>
      <c r="D810" s="861">
        <f>+'[15]Input Sheet'!Q640</f>
        <v>0.14219699999999999</v>
      </c>
      <c r="E810" s="1023"/>
      <c r="F810" s="1023">
        <v>0.13512250000000001</v>
      </c>
      <c r="G810" s="862"/>
      <c r="H810" s="243"/>
      <c r="I810" s="243"/>
      <c r="J810" s="243"/>
      <c r="K810" s="243"/>
      <c r="L810" s="243"/>
      <c r="M810" s="243"/>
    </row>
    <row r="811" spans="1:13" ht="13.5" thickBot="1" x14ac:dyDescent="0.25">
      <c r="A811" s="956"/>
      <c r="B811" s="1052"/>
      <c r="C811" s="1053"/>
      <c r="D811" s="916">
        <f>SUM(D733:D810)</f>
        <v>154.90500698400001</v>
      </c>
      <c r="E811" s="1053"/>
      <c r="F811" s="916">
        <f>SUM(F733:F810)</f>
        <v>182.35702072499998</v>
      </c>
      <c r="M811" s="243"/>
    </row>
    <row r="812" spans="1:13" ht="13.5" thickTop="1" x14ac:dyDescent="0.2">
      <c r="A812" s="956"/>
      <c r="B812" s="818"/>
      <c r="C812" s="852"/>
      <c r="D812" s="852"/>
      <c r="M812" s="243"/>
    </row>
    <row r="813" spans="1:13" x14ac:dyDescent="0.2">
      <c r="A813" s="956"/>
      <c r="B813" s="818"/>
      <c r="C813" s="852"/>
      <c r="D813" s="852"/>
      <c r="M813" s="243"/>
    </row>
    <row r="814" spans="1:13" x14ac:dyDescent="0.2">
      <c r="A814" s="992" t="s">
        <v>1315</v>
      </c>
      <c r="B814" s="936" t="s">
        <v>684</v>
      </c>
      <c r="C814" s="937"/>
      <c r="D814" s="852"/>
      <c r="L814" s="862"/>
      <c r="M814" s="243"/>
    </row>
    <row r="815" spans="1:13" x14ac:dyDescent="0.2">
      <c r="A815" s="956">
        <v>44110</v>
      </c>
      <c r="B815" s="909" t="s">
        <v>210</v>
      </c>
      <c r="C815" s="917"/>
      <c r="D815" s="852">
        <f>'[15]Input Sheet'!Q632</f>
        <v>117.16416536000008</v>
      </c>
      <c r="F815" s="911">
        <v>97.033344397000064</v>
      </c>
      <c r="M815" s="243"/>
    </row>
    <row r="816" spans="1:13" x14ac:dyDescent="0.2">
      <c r="A816" s="956">
        <v>44340</v>
      </c>
      <c r="B816" s="909" t="s">
        <v>647</v>
      </c>
      <c r="C816" s="917"/>
      <c r="D816" s="852">
        <f>'[15]Input Sheet'!Q634</f>
        <v>165.47962041200003</v>
      </c>
      <c r="F816" s="911">
        <v>142.04039931199998</v>
      </c>
      <c r="M816" s="243"/>
    </row>
    <row r="817" spans="1:13" x14ac:dyDescent="0.2">
      <c r="A817" s="1002"/>
      <c r="B817" s="1040"/>
      <c r="C817" s="1041"/>
      <c r="D817" s="1033">
        <f>SUM(D815:D816)</f>
        <v>282.64378577200011</v>
      </c>
      <c r="E817" s="1041"/>
      <c r="F817" s="1033">
        <f>SUM(F815:F816)</f>
        <v>239.07374370900004</v>
      </c>
      <c r="M817" s="243"/>
    </row>
    <row r="818" spans="1:13" x14ac:dyDescent="0.2">
      <c r="C818" s="927"/>
      <c r="D818" s="927"/>
      <c r="M818" s="243"/>
    </row>
    <row r="819" spans="1:13" x14ac:dyDescent="0.2">
      <c r="C819" s="927"/>
      <c r="D819" s="927"/>
      <c r="M819" s="243"/>
    </row>
    <row r="820" spans="1:13" x14ac:dyDescent="0.2">
      <c r="C820" s="927"/>
      <c r="D820" s="927"/>
      <c r="M820" s="243"/>
    </row>
    <row r="821" spans="1:13" x14ac:dyDescent="0.2">
      <c r="C821" s="927"/>
      <c r="D821" s="927"/>
      <c r="M821" s="243"/>
    </row>
    <row r="822" spans="1:13" x14ac:dyDescent="0.2">
      <c r="C822" s="927"/>
      <c r="D822" s="927"/>
      <c r="M822" s="243"/>
    </row>
    <row r="823" spans="1:13" x14ac:dyDescent="0.2">
      <c r="C823" s="927"/>
      <c r="D823" s="927"/>
      <c r="M823" s="243"/>
    </row>
    <row r="824" spans="1:13" x14ac:dyDescent="0.2">
      <c r="C824" s="927"/>
      <c r="D824" s="927"/>
      <c r="M824" s="243"/>
    </row>
    <row r="825" spans="1:13" x14ac:dyDescent="0.2">
      <c r="A825" s="835">
        <v>24000</v>
      </c>
      <c r="B825" s="808" t="s">
        <v>1316</v>
      </c>
      <c r="C825" s="927"/>
      <c r="D825" s="927">
        <f>'[15]Input Sheet'!Q138</f>
        <v>0</v>
      </c>
      <c r="F825" s="911">
        <v>0</v>
      </c>
      <c r="M825" s="243"/>
    </row>
    <row r="826" spans="1:13" x14ac:dyDescent="0.2">
      <c r="A826" s="835">
        <v>24200</v>
      </c>
      <c r="B826" s="808" t="s">
        <v>1317</v>
      </c>
      <c r="C826" s="927"/>
      <c r="D826" s="927">
        <f>'[15]Input Sheet'!Q206</f>
        <v>1.0347500000000001E-3</v>
      </c>
      <c r="F826" s="911">
        <v>1.0347500000000001E-3</v>
      </c>
      <c r="M826" s="243"/>
    </row>
    <row r="827" spans="1:13" x14ac:dyDescent="0.2">
      <c r="A827" s="835">
        <v>24410</v>
      </c>
      <c r="B827" s="808" t="s">
        <v>1318</v>
      </c>
      <c r="C827" s="927"/>
      <c r="D827" s="927">
        <f>'[15]Input Sheet'!Q235</f>
        <v>0</v>
      </c>
      <c r="F827" s="911">
        <v>2.1000000000000001E-4</v>
      </c>
      <c r="G827" s="243"/>
      <c r="H827" s="243"/>
      <c r="I827" s="243"/>
      <c r="J827" s="243"/>
      <c r="K827" s="243"/>
      <c r="L827" s="243"/>
      <c r="M827" s="243"/>
    </row>
    <row r="828" spans="1:13" x14ac:dyDescent="0.2">
      <c r="A828" s="835">
        <v>24430</v>
      </c>
      <c r="B828" s="808" t="s">
        <v>1319</v>
      </c>
      <c r="C828" s="927"/>
      <c r="D828" s="927">
        <f>'[15]Input Sheet'!Q242</f>
        <v>0</v>
      </c>
      <c r="F828" s="911">
        <v>0</v>
      </c>
      <c r="G828" s="243"/>
      <c r="H828" s="243"/>
      <c r="I828" s="243"/>
      <c r="J828" s="243"/>
      <c r="K828" s="243"/>
      <c r="L828" s="243"/>
      <c r="M828" s="243"/>
    </row>
    <row r="829" spans="1:13" x14ac:dyDescent="0.2">
      <c r="A829" s="835">
        <v>24440</v>
      </c>
      <c r="B829" s="808" t="s">
        <v>1320</v>
      </c>
      <c r="C829" s="927"/>
      <c r="D829" s="927">
        <f>'[15]Input Sheet'!Q247</f>
        <v>0</v>
      </c>
      <c r="F829" s="911">
        <v>0</v>
      </c>
      <c r="G829" s="243"/>
      <c r="H829" s="243"/>
      <c r="I829" s="243"/>
      <c r="J829" s="243"/>
      <c r="K829" s="243"/>
      <c r="L829" s="243"/>
      <c r="M829" s="243"/>
    </row>
    <row r="830" spans="1:13" x14ac:dyDescent="0.2">
      <c r="A830" s="835">
        <v>24450</v>
      </c>
      <c r="B830" s="808" t="s">
        <v>1321</v>
      </c>
      <c r="C830" s="927"/>
      <c r="D830" s="927">
        <f>'[15]Input Sheet'!Q254</f>
        <v>6.1269999999999999E-4</v>
      </c>
      <c r="F830" s="911">
        <v>9.4899999999999997E-4</v>
      </c>
      <c r="G830" s="243"/>
      <c r="H830" s="243"/>
      <c r="I830" s="243"/>
      <c r="J830" s="243"/>
      <c r="K830" s="243"/>
      <c r="L830" s="243"/>
      <c r="M830" s="243"/>
    </row>
    <row r="831" spans="1:13" x14ac:dyDescent="0.2">
      <c r="A831" s="835">
        <v>24460</v>
      </c>
      <c r="B831" s="808" t="s">
        <v>1322</v>
      </c>
      <c r="C831" s="927"/>
      <c r="D831" s="927">
        <f>'[15]Input Sheet'!Q261</f>
        <v>2.6029999999999998E-4</v>
      </c>
      <c r="F831" s="911">
        <v>5.8469999999999996E-4</v>
      </c>
      <c r="G831" s="243"/>
      <c r="H831" s="243"/>
      <c r="I831" s="243"/>
      <c r="J831" s="243"/>
      <c r="K831" s="243"/>
      <c r="L831" s="243"/>
      <c r="M831" s="243"/>
    </row>
    <row r="832" spans="1:13" x14ac:dyDescent="0.2">
      <c r="A832" s="835">
        <v>24470</v>
      </c>
      <c r="B832" s="808" t="s">
        <v>1323</v>
      </c>
      <c r="C832" s="927"/>
      <c r="D832" s="927">
        <f>'[15]Input Sheet'!Q268</f>
        <v>1.06E-3</v>
      </c>
      <c r="F832" s="911">
        <v>1.8039999999999999E-4</v>
      </c>
      <c r="G832" s="243"/>
      <c r="H832" s="243"/>
      <c r="I832" s="243"/>
      <c r="J832" s="243"/>
      <c r="K832" s="243"/>
      <c r="L832" s="243"/>
      <c r="M832" s="243"/>
    </row>
    <row r="833" spans="1:13" x14ac:dyDescent="0.2">
      <c r="A833" s="835">
        <v>24490</v>
      </c>
      <c r="B833" s="808" t="s">
        <v>1324</v>
      </c>
      <c r="C833" s="927"/>
      <c r="D833" s="927">
        <f>'[15]Input Sheet'!Q277</f>
        <v>2.153E-4</v>
      </c>
      <c r="F833" s="911">
        <v>9.7899999999999994E-5</v>
      </c>
      <c r="G833" s="243"/>
      <c r="H833" s="243"/>
      <c r="I833" s="243"/>
      <c r="J833" s="243"/>
      <c r="K833" s="243"/>
      <c r="L833" s="243"/>
      <c r="M833" s="243"/>
    </row>
    <row r="834" spans="1:13" x14ac:dyDescent="0.2">
      <c r="A834" s="835">
        <v>24500</v>
      </c>
      <c r="B834" s="808" t="s">
        <v>1325</v>
      </c>
      <c r="C834" s="927"/>
      <c r="D834" s="927">
        <f>'[15]Input Sheet'!Q286</f>
        <v>1.8210000000000001E-4</v>
      </c>
      <c r="F834" s="911">
        <v>8.8159999999999996E-4</v>
      </c>
      <c r="G834" s="243"/>
      <c r="H834" s="243"/>
      <c r="I834" s="243"/>
      <c r="J834" s="243"/>
      <c r="K834" s="243"/>
      <c r="L834" s="243"/>
      <c r="M834" s="243"/>
    </row>
    <row r="835" spans="1:13" x14ac:dyDescent="0.2">
      <c r="A835" s="835">
        <v>24520</v>
      </c>
      <c r="B835" s="808" t="s">
        <v>1326</v>
      </c>
      <c r="C835" s="927"/>
      <c r="D835" s="927">
        <f>'[15]Input Sheet'!Q297</f>
        <v>3.1999999999999999E-6</v>
      </c>
      <c r="F835" s="911">
        <v>6.1799999999999998E-5</v>
      </c>
      <c r="G835" s="243"/>
      <c r="H835" s="243"/>
      <c r="I835" s="243"/>
      <c r="J835" s="243"/>
      <c r="K835" s="243"/>
      <c r="L835" s="243"/>
      <c r="M835" s="243"/>
    </row>
    <row r="836" spans="1:13" x14ac:dyDescent="0.2">
      <c r="A836" s="835">
        <v>24600</v>
      </c>
      <c r="B836" s="808" t="s">
        <v>1327</v>
      </c>
      <c r="C836" s="927"/>
      <c r="D836" s="927">
        <f>'[15]Input Sheet'!Q316</f>
        <v>3.3550000000000002E-4</v>
      </c>
      <c r="F836" s="911">
        <v>1.6440000000000001E-4</v>
      </c>
      <c r="G836" s="243"/>
      <c r="H836" s="243"/>
      <c r="I836" s="243"/>
      <c r="J836" s="243"/>
      <c r="K836" s="243"/>
      <c r="L836" s="243"/>
      <c r="M836" s="243"/>
    </row>
    <row r="837" spans="1:13" x14ac:dyDescent="0.2">
      <c r="A837" s="835">
        <v>24610</v>
      </c>
      <c r="B837" s="808" t="s">
        <v>1328</v>
      </c>
      <c r="C837" s="927"/>
      <c r="D837" s="927">
        <f>'[15]Input Sheet'!Q323</f>
        <v>0</v>
      </c>
      <c r="F837" s="911">
        <v>0</v>
      </c>
      <c r="G837" s="243"/>
      <c r="H837" s="243"/>
      <c r="I837" s="243"/>
      <c r="J837" s="243"/>
      <c r="K837" s="243"/>
      <c r="L837" s="243"/>
      <c r="M837" s="243"/>
    </row>
    <row r="838" spans="1:13" x14ac:dyDescent="0.2">
      <c r="A838" s="835">
        <v>24620</v>
      </c>
      <c r="B838" s="808" t="s">
        <v>1329</v>
      </c>
      <c r="C838" s="927"/>
      <c r="D838" s="927">
        <f>'[15]Input Sheet'!Q328</f>
        <v>2.8840000000000002E-4</v>
      </c>
      <c r="F838" s="911">
        <v>6.8100000000000002E-5</v>
      </c>
      <c r="G838" s="243"/>
      <c r="H838" s="243"/>
      <c r="I838" s="243"/>
      <c r="J838" s="243"/>
      <c r="K838" s="243"/>
      <c r="L838" s="243"/>
      <c r="M838" s="243"/>
    </row>
    <row r="839" spans="1:13" x14ac:dyDescent="0.2">
      <c r="A839" s="835">
        <v>24630</v>
      </c>
      <c r="B839" s="808" t="s">
        <v>1330</v>
      </c>
      <c r="C839" s="927"/>
      <c r="D839" s="927">
        <f>'[15]Input Sheet'!Q333</f>
        <v>6.8220000000000008E-5</v>
      </c>
      <c r="F839" s="911">
        <v>1.5752E-4</v>
      </c>
      <c r="G839" s="243"/>
      <c r="H839" s="243"/>
      <c r="I839" s="243"/>
      <c r="J839" s="243"/>
      <c r="K839" s="243"/>
      <c r="L839" s="243"/>
      <c r="M839" s="243"/>
    </row>
    <row r="840" spans="1:13" x14ac:dyDescent="0.2">
      <c r="A840" s="835">
        <v>24640</v>
      </c>
      <c r="B840" s="808" t="s">
        <v>1331</v>
      </c>
      <c r="C840" s="927"/>
      <c r="D840" s="927">
        <f>'[15]Input Sheet'!Q338</f>
        <v>1.3756E-3</v>
      </c>
      <c r="F840" s="911">
        <v>3.1952E-3</v>
      </c>
      <c r="G840" s="243"/>
      <c r="H840" s="243"/>
      <c r="I840" s="243"/>
      <c r="J840" s="243"/>
      <c r="K840" s="243"/>
      <c r="L840" s="243"/>
      <c r="M840" s="243"/>
    </row>
    <row r="841" spans="1:13" x14ac:dyDescent="0.2">
      <c r="A841" s="835">
        <v>24660</v>
      </c>
      <c r="B841" s="808" t="s">
        <v>1332</v>
      </c>
      <c r="C841" s="927"/>
      <c r="D841" s="927">
        <f>'[15]Input Sheet'!Q347</f>
        <v>2.4879999999999998E-4</v>
      </c>
      <c r="F841" s="911">
        <v>2.4879999999999998E-4</v>
      </c>
      <c r="G841" s="243"/>
      <c r="H841" s="243"/>
      <c r="I841" s="243"/>
      <c r="J841" s="243"/>
      <c r="K841" s="243"/>
      <c r="L841" s="243"/>
      <c r="M841" s="243"/>
    </row>
    <row r="842" spans="1:13" x14ac:dyDescent="0.2">
      <c r="A842" s="835">
        <v>24670</v>
      </c>
      <c r="B842" s="808" t="s">
        <v>1333</v>
      </c>
      <c r="C842" s="927"/>
      <c r="D842" s="927">
        <f>'[15]Input Sheet'!Q356</f>
        <v>5.2879999999999995E-4</v>
      </c>
      <c r="F842" s="911">
        <v>5.463E-4</v>
      </c>
      <c r="G842" s="243"/>
      <c r="H842" s="243"/>
      <c r="I842" s="243"/>
      <c r="J842" s="243"/>
      <c r="K842" s="243"/>
      <c r="L842" s="243"/>
      <c r="M842" s="243"/>
    </row>
    <row r="843" spans="1:13" x14ac:dyDescent="0.2">
      <c r="A843" s="835">
        <v>24680</v>
      </c>
      <c r="B843" s="808" t="s">
        <v>1334</v>
      </c>
      <c r="C843" s="927"/>
      <c r="D843" s="927">
        <f>'[15]Input Sheet'!Q361</f>
        <v>1.2589999999999999E-3</v>
      </c>
      <c r="F843" s="911">
        <v>3.0630000000000002E-4</v>
      </c>
      <c r="G843" s="243"/>
      <c r="H843" s="243"/>
      <c r="I843" s="243"/>
      <c r="J843" s="243"/>
      <c r="K843" s="243"/>
      <c r="L843" s="243"/>
      <c r="M843" s="243"/>
    </row>
    <row r="844" spans="1:13" x14ac:dyDescent="0.2">
      <c r="A844" s="835">
        <v>24690</v>
      </c>
      <c r="B844" s="808" t="s">
        <v>1335</v>
      </c>
      <c r="C844" s="927"/>
      <c r="D844" s="927">
        <f>'[15]Input Sheet'!Q367</f>
        <v>7.1699999999999995E-5</v>
      </c>
      <c r="F844" s="911">
        <v>4.0749999999999998E-4</v>
      </c>
      <c r="G844" s="243"/>
      <c r="H844" s="243"/>
      <c r="I844" s="243"/>
      <c r="J844" s="243"/>
      <c r="K844" s="243"/>
      <c r="L844" s="243"/>
      <c r="M844" s="243"/>
    </row>
    <row r="845" spans="1:13" x14ac:dyDescent="0.2">
      <c r="A845" s="835">
        <v>24700</v>
      </c>
      <c r="B845" s="808" t="s">
        <v>1336</v>
      </c>
      <c r="C845" s="927"/>
      <c r="D845" s="927">
        <f>'[15]Input Sheet'!Q374</f>
        <v>1.3852000000000001E-3</v>
      </c>
      <c r="F845" s="911">
        <v>1.2794E-3</v>
      </c>
      <c r="G845" s="243"/>
      <c r="H845" s="243"/>
      <c r="I845" s="243"/>
      <c r="J845" s="243"/>
      <c r="K845" s="243"/>
      <c r="L845" s="243"/>
      <c r="M845" s="243"/>
    </row>
    <row r="846" spans="1:13" x14ac:dyDescent="0.2">
      <c r="A846" s="835">
        <v>24800</v>
      </c>
      <c r="B846" s="808" t="s">
        <v>1337</v>
      </c>
      <c r="C846" s="927"/>
      <c r="D846" s="927">
        <f>'[15]Input Sheet'!Q380</f>
        <v>3.5110000000000002E-4</v>
      </c>
      <c r="F846" s="911">
        <v>4.3639999999999998E-4</v>
      </c>
      <c r="G846" s="243"/>
      <c r="H846" s="243"/>
      <c r="I846" s="243"/>
      <c r="J846" s="243"/>
      <c r="K846" s="243"/>
      <c r="L846" s="243"/>
      <c r="M846" s="243"/>
    </row>
    <row r="847" spans="1:13" x14ac:dyDescent="0.2">
      <c r="A847" s="835">
        <v>24810</v>
      </c>
      <c r="B847" s="808" t="s">
        <v>1338</v>
      </c>
      <c r="C847" s="927"/>
      <c r="D847" s="927">
        <f>'[15]Input Sheet'!Q387</f>
        <v>1.0289999999999999E-4</v>
      </c>
      <c r="F847" s="911">
        <v>1.0289999999999999E-4</v>
      </c>
      <c r="G847" s="243"/>
      <c r="H847" s="243"/>
      <c r="I847" s="243"/>
      <c r="J847" s="243"/>
      <c r="K847" s="243"/>
      <c r="L847" s="243"/>
      <c r="M847" s="243"/>
    </row>
    <row r="848" spans="1:13" x14ac:dyDescent="0.2">
      <c r="A848" s="835">
        <v>24820</v>
      </c>
      <c r="B848" s="808" t="s">
        <v>1339</v>
      </c>
      <c r="C848" s="927"/>
      <c r="D848" s="927">
        <f>'[15]Input Sheet'!Q394</f>
        <v>0</v>
      </c>
      <c r="F848" s="911">
        <v>0</v>
      </c>
      <c r="G848" s="243"/>
      <c r="H848" s="243"/>
      <c r="I848" s="243"/>
      <c r="J848" s="243"/>
      <c r="K848" s="243"/>
      <c r="L848" s="243"/>
      <c r="M848" s="243"/>
    </row>
    <row r="849" spans="1:13" x14ac:dyDescent="0.2">
      <c r="A849" s="835">
        <v>24830</v>
      </c>
      <c r="B849" s="808" t="s">
        <v>1340</v>
      </c>
      <c r="C849" s="927"/>
      <c r="D849" s="927">
        <f>'[15]Input Sheet'!Q401</f>
        <v>1.138E-4</v>
      </c>
      <c r="F849" s="911">
        <v>8.0869999999999998E-4</v>
      </c>
      <c r="G849" s="243"/>
      <c r="H849" s="243"/>
      <c r="I849" s="243"/>
      <c r="J849" s="243"/>
      <c r="K849" s="243"/>
      <c r="L849" s="243"/>
      <c r="M849" s="243"/>
    </row>
    <row r="850" spans="1:13" x14ac:dyDescent="0.2">
      <c r="A850" s="835">
        <v>24840</v>
      </c>
      <c r="B850" s="808" t="s">
        <v>1341</v>
      </c>
      <c r="C850" s="927"/>
      <c r="D850" s="927">
        <f>'[15]Input Sheet'!Q406</f>
        <v>2.2680000000000001E-4</v>
      </c>
      <c r="F850" s="911">
        <v>2.2469999999999999E-4</v>
      </c>
      <c r="G850" s="243"/>
      <c r="H850" s="243"/>
      <c r="I850" s="243"/>
      <c r="J850" s="243"/>
      <c r="K850" s="243"/>
      <c r="L850" s="243"/>
      <c r="M850" s="243"/>
    </row>
    <row r="851" spans="1:13" x14ac:dyDescent="0.2">
      <c r="A851" s="835">
        <v>24860</v>
      </c>
      <c r="B851" s="808" t="s">
        <v>1342</v>
      </c>
      <c r="C851" s="927"/>
      <c r="D851" s="927">
        <f>'[15]Input Sheet'!Q415</f>
        <v>1.9819999999999999E-4</v>
      </c>
      <c r="F851" s="911">
        <v>2.7460000000000001E-4</v>
      </c>
      <c r="G851" s="243"/>
      <c r="H851" s="243"/>
      <c r="I851" s="243"/>
      <c r="J851" s="243"/>
      <c r="K851" s="243"/>
      <c r="L851" s="243"/>
      <c r="M851" s="243"/>
    </row>
    <row r="852" spans="1:13" x14ac:dyDescent="0.2">
      <c r="A852" s="835">
        <v>24870</v>
      </c>
      <c r="B852" s="808" t="s">
        <v>1343</v>
      </c>
      <c r="C852" s="927"/>
      <c r="D852" s="927">
        <f>'[15]Input Sheet'!Q420</f>
        <v>6.8100000000000002E-5</v>
      </c>
      <c r="F852" s="911">
        <v>6.8100000000000002E-5</v>
      </c>
      <c r="G852" s="243"/>
      <c r="H852" s="243"/>
      <c r="I852" s="243"/>
      <c r="J852" s="243"/>
      <c r="K852" s="243"/>
      <c r="L852" s="243"/>
      <c r="M852" s="243"/>
    </row>
    <row r="853" spans="1:13" x14ac:dyDescent="0.2">
      <c r="A853" s="835">
        <v>24900</v>
      </c>
      <c r="B853" s="808" t="s">
        <v>1344</v>
      </c>
      <c r="C853" s="927"/>
      <c r="D853" s="927">
        <f>'[15]Input Sheet'!Q427</f>
        <v>2.05E-5</v>
      </c>
      <c r="F853" s="911">
        <v>8.7989999999999997E-4</v>
      </c>
      <c r="G853" s="243"/>
      <c r="H853" s="243"/>
      <c r="I853" s="243"/>
      <c r="J853" s="243"/>
      <c r="K853" s="243"/>
      <c r="L853" s="243"/>
      <c r="M853" s="243"/>
    </row>
    <row r="854" spans="1:13" x14ac:dyDescent="0.2">
      <c r="A854" s="835">
        <v>24910</v>
      </c>
      <c r="B854" s="808" t="s">
        <v>1345</v>
      </c>
      <c r="C854" s="927"/>
      <c r="D854" s="927">
        <f>'[15]Input Sheet'!Q434</f>
        <v>2.942E-4</v>
      </c>
      <c r="F854" s="911">
        <v>4.4900000000000002E-4</v>
      </c>
      <c r="G854" s="243"/>
      <c r="H854" s="243"/>
      <c r="I854" s="243"/>
      <c r="J854" s="243"/>
      <c r="K854" s="243"/>
      <c r="L854" s="243"/>
      <c r="M854" s="243"/>
    </row>
    <row r="855" spans="1:13" x14ac:dyDescent="0.2">
      <c r="A855" s="835">
        <v>24920</v>
      </c>
      <c r="B855" s="808" t="s">
        <v>1346</v>
      </c>
      <c r="C855" s="927"/>
      <c r="D855" s="927">
        <f>'[15]Input Sheet'!Q443</f>
        <v>1.1000000000000001E-6</v>
      </c>
      <c r="F855" s="911">
        <v>1.1000000000000001E-6</v>
      </c>
      <c r="G855" s="243"/>
      <c r="H855" s="243"/>
      <c r="I855" s="243"/>
      <c r="J855" s="243"/>
      <c r="K855" s="243"/>
      <c r="L855" s="243"/>
      <c r="M855" s="243"/>
    </row>
    <row r="856" spans="1:13" x14ac:dyDescent="0.2">
      <c r="A856" s="835">
        <v>24930</v>
      </c>
      <c r="B856" s="808" t="s">
        <v>1347</v>
      </c>
      <c r="C856" s="927"/>
      <c r="D856" s="927">
        <f>'[15]Input Sheet'!Q450</f>
        <v>4.32E-5</v>
      </c>
      <c r="F856" s="911">
        <v>5.8199999999999998E-5</v>
      </c>
      <c r="G856" s="243"/>
      <c r="H856" s="243"/>
      <c r="I856" s="243"/>
      <c r="J856" s="243"/>
      <c r="K856" s="243"/>
      <c r="L856" s="243"/>
      <c r="M856" s="243"/>
    </row>
    <row r="857" spans="1:13" x14ac:dyDescent="0.2">
      <c r="A857" s="835">
        <v>24940</v>
      </c>
      <c r="B857" s="808" t="s">
        <v>1348</v>
      </c>
      <c r="C857" s="927"/>
      <c r="D857" s="927">
        <f>'[15]Input Sheet'!Q457</f>
        <v>0</v>
      </c>
      <c r="F857" s="911">
        <v>0</v>
      </c>
      <c r="G857" s="243"/>
      <c r="H857" s="243"/>
      <c r="I857" s="243"/>
      <c r="J857" s="243"/>
      <c r="K857" s="243"/>
      <c r="L857" s="243"/>
      <c r="M857" s="243"/>
    </row>
    <row r="858" spans="1:13" x14ac:dyDescent="0.2">
      <c r="A858" s="835">
        <v>24950</v>
      </c>
      <c r="B858" s="808" t="s">
        <v>1349</v>
      </c>
      <c r="C858" s="927"/>
      <c r="D858" s="927">
        <f>'[15]Input Sheet'!Q464</f>
        <v>1.0471E-3</v>
      </c>
      <c r="F858" s="911">
        <v>9.77475E-4</v>
      </c>
      <c r="G858" s="243"/>
      <c r="H858" s="243"/>
      <c r="I858" s="243"/>
      <c r="J858" s="243"/>
      <c r="K858" s="243"/>
      <c r="L858" s="243"/>
      <c r="M858" s="243"/>
    </row>
    <row r="859" spans="1:13" x14ac:dyDescent="0.2">
      <c r="A859" s="835">
        <v>24960</v>
      </c>
      <c r="B859" s="808" t="s">
        <v>1350</v>
      </c>
      <c r="C859" s="927"/>
      <c r="D859" s="927">
        <f>'[15]Input Sheet'!Q469</f>
        <v>0</v>
      </c>
      <c r="F859" s="1054">
        <v>0</v>
      </c>
      <c r="G859" s="243"/>
      <c r="H859" s="243"/>
      <c r="I859" s="243"/>
      <c r="J859" s="243"/>
      <c r="K859" s="243"/>
      <c r="L859" s="243"/>
      <c r="M859" s="243"/>
    </row>
    <row r="860" spans="1:13" x14ac:dyDescent="0.2">
      <c r="B860" s="808" t="s">
        <v>9</v>
      </c>
      <c r="C860" s="927"/>
      <c r="D860" s="927">
        <f>SUM(D825:D859)</f>
        <v>1.139657E-2</v>
      </c>
      <c r="F860" s="927">
        <f>SUM(F825:F859)</f>
        <v>1.4654745E-2</v>
      </c>
      <c r="G860" s="243"/>
      <c r="H860" s="243"/>
      <c r="I860" s="243"/>
      <c r="J860" s="243"/>
      <c r="K860" s="243"/>
      <c r="L860" s="243"/>
      <c r="M860" s="243"/>
    </row>
    <row r="861" spans="1:13" x14ac:dyDescent="0.2">
      <c r="C861" s="927"/>
      <c r="D861" s="927"/>
      <c r="G861" s="243"/>
      <c r="H861" s="243"/>
      <c r="I861" s="243"/>
      <c r="J861" s="243"/>
      <c r="K861" s="243"/>
      <c r="L861" s="243"/>
      <c r="M861" s="243"/>
    </row>
    <row r="862" spans="1:13" x14ac:dyDescent="0.2">
      <c r="C862" s="927"/>
      <c r="D862" s="927"/>
      <c r="G862" s="243"/>
      <c r="H862" s="243"/>
      <c r="I862" s="243"/>
      <c r="J862" s="243"/>
      <c r="K862" s="243"/>
      <c r="L862" s="243"/>
      <c r="M862" s="243"/>
    </row>
    <row r="863" spans="1:13" x14ac:dyDescent="0.2">
      <c r="A863" s="835">
        <v>24001</v>
      </c>
      <c r="B863" s="808" t="s">
        <v>1351</v>
      </c>
      <c r="C863" s="927"/>
      <c r="D863" s="1055">
        <f>'[15]Input Sheet'!Q139</f>
        <v>0</v>
      </c>
      <c r="F863" s="911">
        <v>0</v>
      </c>
      <c r="G863" s="243"/>
      <c r="H863" s="243"/>
      <c r="I863" s="243"/>
      <c r="J863" s="243"/>
      <c r="K863" s="243"/>
      <c r="L863" s="243"/>
      <c r="M863" s="243"/>
    </row>
    <row r="864" spans="1:13" x14ac:dyDescent="0.2">
      <c r="A864" s="835">
        <v>24002</v>
      </c>
      <c r="B864" s="808" t="s">
        <v>1352</v>
      </c>
      <c r="C864" s="927"/>
      <c r="D864" s="1055">
        <f>'[15]Input Sheet'!Q140</f>
        <v>0</v>
      </c>
      <c r="F864" s="911">
        <v>0</v>
      </c>
      <c r="G864" s="243"/>
      <c r="H864" s="243"/>
      <c r="I864" s="243"/>
      <c r="J864" s="243"/>
      <c r="K864" s="243"/>
      <c r="L864" s="243"/>
      <c r="M864" s="243"/>
    </row>
    <row r="865" spans="1:13" x14ac:dyDescent="0.2">
      <c r="A865" s="835">
        <v>24011</v>
      </c>
      <c r="B865" s="808" t="s">
        <v>1353</v>
      </c>
      <c r="C865" s="927"/>
      <c r="D865" s="1055">
        <f>'[15]Input Sheet'!Q141</f>
        <v>0</v>
      </c>
      <c r="F865" s="911">
        <v>0</v>
      </c>
      <c r="G865" s="243"/>
      <c r="H865" s="243"/>
      <c r="I865" s="243"/>
      <c r="J865" s="243"/>
      <c r="K865" s="243"/>
      <c r="L865" s="243"/>
      <c r="M865" s="243"/>
    </row>
    <row r="866" spans="1:13" x14ac:dyDescent="0.2">
      <c r="A866" s="835">
        <v>24012</v>
      </c>
      <c r="B866" s="808" t="s">
        <v>1354</v>
      </c>
      <c r="C866" s="927"/>
      <c r="D866" s="1055">
        <f>'[15]Input Sheet'!Q142</f>
        <v>0</v>
      </c>
      <c r="F866" s="911">
        <v>0</v>
      </c>
      <c r="G866" s="243"/>
      <c r="H866" s="243"/>
      <c r="I866" s="243"/>
      <c r="J866" s="243"/>
      <c r="K866" s="243"/>
      <c r="L866" s="243"/>
      <c r="M866" s="243"/>
    </row>
    <row r="867" spans="1:13" x14ac:dyDescent="0.2">
      <c r="A867" s="835">
        <v>24023</v>
      </c>
      <c r="B867" s="808" t="s">
        <v>1355</v>
      </c>
      <c r="C867" s="927"/>
      <c r="D867" s="1055">
        <f>'[15]Input Sheet'!Q145</f>
        <v>4.3000000000000001E-8</v>
      </c>
      <c r="F867" s="911">
        <v>4.3000000000000001E-8</v>
      </c>
      <c r="G867" s="243"/>
      <c r="H867" s="243"/>
      <c r="I867" s="243"/>
      <c r="J867" s="243"/>
      <c r="K867" s="243"/>
      <c r="L867" s="243"/>
      <c r="M867" s="243"/>
    </row>
    <row r="868" spans="1:13" x14ac:dyDescent="0.2">
      <c r="A868" s="835">
        <v>24024</v>
      </c>
      <c r="B868" s="808" t="s">
        <v>1356</v>
      </c>
      <c r="C868" s="927"/>
      <c r="D868" s="1055">
        <f>'[15]Input Sheet'!Q146</f>
        <v>-4.3000000000000001E-8</v>
      </c>
      <c r="F868" s="911">
        <v>-4.3000000000000001E-8</v>
      </c>
      <c r="G868" s="243"/>
      <c r="H868" s="243"/>
      <c r="I868" s="243"/>
      <c r="J868" s="243"/>
      <c r="K868" s="243"/>
      <c r="L868" s="243"/>
      <c r="M868" s="243"/>
    </row>
    <row r="869" spans="1:13" x14ac:dyDescent="0.2">
      <c r="A869" s="835">
        <v>24026</v>
      </c>
      <c r="B869" s="808" t="s">
        <v>1357</v>
      </c>
      <c r="C869" s="927"/>
      <c r="D869" s="1055">
        <f>'[15]Input Sheet'!Q147</f>
        <v>-1.0891277500000001</v>
      </c>
      <c r="F869" s="911">
        <v>-1.0891277500000001</v>
      </c>
      <c r="G869" s="243"/>
      <c r="H869" s="243"/>
      <c r="I869" s="243"/>
      <c r="J869" s="243"/>
      <c r="K869" s="243"/>
      <c r="L869" s="243"/>
      <c r="M869" s="243"/>
    </row>
    <row r="870" spans="1:13" x14ac:dyDescent="0.2">
      <c r="A870" s="835">
        <v>24027</v>
      </c>
      <c r="B870" s="808" t="s">
        <v>1358</v>
      </c>
      <c r="C870" s="927"/>
      <c r="D870" s="1055">
        <f>'[15]Input Sheet'!Q148</f>
        <v>-8.6738153269999998</v>
      </c>
      <c r="F870" s="911">
        <v>-4.9515432060000002</v>
      </c>
      <c r="G870" s="243"/>
      <c r="H870" s="243"/>
      <c r="I870" s="243"/>
      <c r="J870" s="243"/>
      <c r="K870" s="243"/>
      <c r="L870" s="243"/>
      <c r="M870" s="243"/>
    </row>
    <row r="871" spans="1:13" x14ac:dyDescent="0.2">
      <c r="A871" s="835">
        <v>24031</v>
      </c>
      <c r="B871" s="808" t="s">
        <v>1359</v>
      </c>
      <c r="C871" s="927"/>
      <c r="D871" s="1055">
        <f>'[15]Input Sheet'!Q149</f>
        <v>0</v>
      </c>
      <c r="F871" s="911">
        <v>0</v>
      </c>
      <c r="G871" s="243"/>
      <c r="H871" s="243"/>
      <c r="I871" s="243"/>
      <c r="J871" s="243"/>
      <c r="K871" s="243"/>
      <c r="L871" s="243"/>
      <c r="M871" s="243"/>
    </row>
    <row r="872" spans="1:13" x14ac:dyDescent="0.2">
      <c r="A872" s="835">
        <v>24032</v>
      </c>
      <c r="B872" s="808" t="s">
        <v>1360</v>
      </c>
      <c r="C872" s="927"/>
      <c r="D872" s="1055">
        <f>'[15]Input Sheet'!Q150</f>
        <v>0</v>
      </c>
      <c r="F872" s="911">
        <v>0</v>
      </c>
      <c r="G872" s="243"/>
      <c r="H872" s="243"/>
      <c r="I872" s="243"/>
      <c r="J872" s="243"/>
      <c r="K872" s="243"/>
      <c r="L872" s="243"/>
      <c r="M872" s="243"/>
    </row>
    <row r="873" spans="1:13" x14ac:dyDescent="0.2">
      <c r="A873" s="835">
        <v>24033</v>
      </c>
      <c r="B873" s="808" t="s">
        <v>1361</v>
      </c>
      <c r="C873" s="927"/>
      <c r="D873" s="1055">
        <f>'[15]Input Sheet'!Q151</f>
        <v>0</v>
      </c>
      <c r="F873" s="911">
        <v>0</v>
      </c>
      <c r="G873" s="243"/>
      <c r="H873" s="243"/>
      <c r="I873" s="243"/>
      <c r="J873" s="243"/>
      <c r="K873" s="243"/>
      <c r="L873" s="243"/>
      <c r="M873" s="243"/>
    </row>
    <row r="874" spans="1:13" ht="14.25" customHeight="1" x14ac:dyDescent="0.2">
      <c r="A874" s="835">
        <v>24034</v>
      </c>
      <c r="B874" s="808" t="s">
        <v>1362</v>
      </c>
      <c r="C874" s="927"/>
      <c r="D874" s="1055">
        <f>'[15]Input Sheet'!Q152</f>
        <v>0</v>
      </c>
      <c r="F874" s="911">
        <v>0</v>
      </c>
      <c r="G874" s="243"/>
      <c r="H874" s="243"/>
      <c r="I874" s="243"/>
      <c r="J874" s="243"/>
      <c r="K874" s="243"/>
      <c r="L874" s="243"/>
      <c r="M874" s="243"/>
    </row>
    <row r="875" spans="1:13" ht="14.25" customHeight="1" x14ac:dyDescent="0.2">
      <c r="A875" s="835">
        <v>24037</v>
      </c>
      <c r="B875" s="1056" t="s">
        <v>1363</v>
      </c>
      <c r="C875" s="927"/>
      <c r="D875" s="1055">
        <f>'[15]Input Sheet'!Q153</f>
        <v>5.8367999999999994E-5</v>
      </c>
      <c r="F875" s="911">
        <v>0</v>
      </c>
      <c r="G875" s="243"/>
      <c r="H875" s="243"/>
      <c r="I875" s="243"/>
      <c r="J875" s="243"/>
      <c r="K875" s="243"/>
      <c r="L875" s="243"/>
      <c r="M875" s="243"/>
    </row>
    <row r="876" spans="1:13" ht="14.25" customHeight="1" x14ac:dyDescent="0.2">
      <c r="A876" s="835">
        <v>24039</v>
      </c>
      <c r="B876" s="1056" t="s">
        <v>1364</v>
      </c>
      <c r="C876" s="927"/>
      <c r="D876" s="1055">
        <f>'[15]Input Sheet'!Q154</f>
        <v>0.24888187000000001</v>
      </c>
      <c r="F876" s="911">
        <v>0.24888187000000001</v>
      </c>
      <c r="G876" s="243"/>
      <c r="H876" s="243"/>
      <c r="I876" s="243"/>
      <c r="J876" s="243"/>
      <c r="K876" s="243"/>
      <c r="L876" s="243"/>
      <c r="M876" s="243"/>
    </row>
    <row r="877" spans="1:13" x14ac:dyDescent="0.2">
      <c r="A877" s="835">
        <v>24051</v>
      </c>
      <c r="B877" s="808" t="s">
        <v>1365</v>
      </c>
      <c r="C877" s="927"/>
      <c r="D877" s="1055">
        <f>'[15]Input Sheet'!Q157</f>
        <v>0</v>
      </c>
      <c r="F877" s="911">
        <v>0</v>
      </c>
      <c r="G877" s="243"/>
      <c r="H877" s="243"/>
      <c r="I877" s="243"/>
      <c r="J877" s="243"/>
      <c r="K877" s="243"/>
      <c r="L877" s="243"/>
      <c r="M877" s="243"/>
    </row>
    <row r="878" spans="1:13" x14ac:dyDescent="0.2">
      <c r="A878" s="835">
        <v>24052</v>
      </c>
      <c r="B878" s="808" t="s">
        <v>1366</v>
      </c>
      <c r="C878" s="927"/>
      <c r="D878" s="1055">
        <f>'[15]Input Sheet'!Q158</f>
        <v>0</v>
      </c>
      <c r="F878" s="911">
        <v>0</v>
      </c>
      <c r="G878" s="243"/>
      <c r="H878" s="243"/>
      <c r="I878" s="243"/>
      <c r="J878" s="243"/>
      <c r="K878" s="243"/>
      <c r="L878" s="243"/>
      <c r="M878" s="243"/>
    </row>
    <row r="879" spans="1:13" x14ac:dyDescent="0.2">
      <c r="A879" s="835">
        <v>24071</v>
      </c>
      <c r="B879" s="808" t="s">
        <v>1367</v>
      </c>
      <c r="C879" s="927"/>
      <c r="D879" s="1055">
        <f>'[15]Input Sheet'!Q161</f>
        <v>0</v>
      </c>
      <c r="F879" s="911">
        <v>0</v>
      </c>
      <c r="G879" s="243"/>
      <c r="H879" s="243"/>
      <c r="I879" s="243"/>
      <c r="J879" s="243"/>
      <c r="K879" s="243"/>
      <c r="L879" s="243"/>
      <c r="M879" s="243"/>
    </row>
    <row r="880" spans="1:13" x14ac:dyDescent="0.2">
      <c r="A880" s="835">
        <v>24072</v>
      </c>
      <c r="B880" s="808" t="s">
        <v>1368</v>
      </c>
      <c r="C880" s="927"/>
      <c r="D880" s="1055">
        <f>'[15]Input Sheet'!Q162</f>
        <v>0</v>
      </c>
      <c r="F880" s="911">
        <v>0</v>
      </c>
      <c r="G880" s="243"/>
      <c r="H880" s="243"/>
      <c r="I880" s="243"/>
      <c r="J880" s="243"/>
      <c r="K880" s="243"/>
      <c r="L880" s="243"/>
      <c r="M880" s="243"/>
    </row>
    <row r="881" spans="1:13" x14ac:dyDescent="0.2">
      <c r="A881" s="835">
        <v>24081</v>
      </c>
      <c r="B881" s="808" t="s">
        <v>1369</v>
      </c>
      <c r="C881" s="927"/>
      <c r="D881" s="1055">
        <f>'[15]Input Sheet'!Q163</f>
        <v>0</v>
      </c>
      <c r="F881" s="911">
        <v>0</v>
      </c>
      <c r="G881" s="243"/>
      <c r="H881" s="243"/>
      <c r="I881" s="243"/>
      <c r="J881" s="243"/>
      <c r="K881" s="243"/>
      <c r="L881" s="243"/>
      <c r="M881" s="243"/>
    </row>
    <row r="882" spans="1:13" x14ac:dyDescent="0.2">
      <c r="A882" s="835">
        <v>24082</v>
      </c>
      <c r="B882" s="808" t="s">
        <v>1370</v>
      </c>
      <c r="C882" s="927"/>
      <c r="D882" s="1055">
        <f>'[15]Input Sheet'!Q164</f>
        <v>0</v>
      </c>
      <c r="F882" s="911">
        <v>0</v>
      </c>
      <c r="G882" s="243"/>
      <c r="H882" s="243"/>
      <c r="I882" s="243"/>
      <c r="J882" s="243"/>
      <c r="K882" s="243"/>
      <c r="L882" s="243"/>
      <c r="M882" s="243"/>
    </row>
    <row r="883" spans="1:13" x14ac:dyDescent="0.2">
      <c r="A883" s="835">
        <v>24083</v>
      </c>
      <c r="B883" s="808" t="s">
        <v>1371</v>
      </c>
      <c r="C883" s="927"/>
      <c r="D883" s="1055">
        <f>'[15]Input Sheet'!Q165</f>
        <v>0</v>
      </c>
      <c r="F883" s="911">
        <v>0</v>
      </c>
      <c r="G883" s="243"/>
      <c r="H883" s="243"/>
      <c r="I883" s="243"/>
      <c r="J883" s="243"/>
      <c r="K883" s="243"/>
      <c r="L883" s="243"/>
      <c r="M883" s="243"/>
    </row>
    <row r="884" spans="1:13" x14ac:dyDescent="0.2">
      <c r="A884" s="835">
        <v>24084</v>
      </c>
      <c r="B884" s="808" t="s">
        <v>1372</v>
      </c>
      <c r="C884" s="927"/>
      <c r="D884" s="1055">
        <f>'[15]Input Sheet'!Q166</f>
        <v>0</v>
      </c>
      <c r="F884" s="911">
        <v>0</v>
      </c>
      <c r="G884" s="243"/>
      <c r="H884" s="243"/>
      <c r="I884" s="243"/>
      <c r="J884" s="243"/>
      <c r="K884" s="243"/>
      <c r="L884" s="243"/>
      <c r="M884" s="243"/>
    </row>
    <row r="885" spans="1:13" x14ac:dyDescent="0.2">
      <c r="A885" s="835">
        <v>24086</v>
      </c>
      <c r="B885" s="808" t="s">
        <v>1373</v>
      </c>
      <c r="C885" s="927"/>
      <c r="D885" s="1055">
        <f>'[15]Input Sheet'!Q167</f>
        <v>0</v>
      </c>
      <c r="F885" s="911">
        <v>0</v>
      </c>
      <c r="G885" s="243"/>
      <c r="H885" s="243"/>
      <c r="I885" s="243"/>
      <c r="J885" s="243"/>
      <c r="K885" s="243"/>
      <c r="L885" s="243"/>
      <c r="M885" s="243"/>
    </row>
    <row r="886" spans="1:13" x14ac:dyDescent="0.2">
      <c r="A886" s="835">
        <v>24087</v>
      </c>
      <c r="B886" s="808" t="s">
        <v>1374</v>
      </c>
      <c r="C886" s="927"/>
      <c r="D886" s="1055">
        <f>'[15]Input Sheet'!Q168</f>
        <v>0</v>
      </c>
      <c r="F886" s="911">
        <v>0</v>
      </c>
      <c r="G886" s="243"/>
      <c r="H886" s="243"/>
      <c r="I886" s="243"/>
      <c r="J886" s="243"/>
      <c r="K886" s="243"/>
      <c r="L886" s="243"/>
      <c r="M886" s="243"/>
    </row>
    <row r="887" spans="1:13" x14ac:dyDescent="0.2">
      <c r="A887" s="835">
        <v>24088</v>
      </c>
      <c r="B887" s="808" t="s">
        <v>1375</v>
      </c>
      <c r="C887" s="927"/>
      <c r="D887" s="1055">
        <f>'[15]Input Sheet'!Q169</f>
        <v>0</v>
      </c>
      <c r="F887" s="911">
        <v>0</v>
      </c>
      <c r="G887" s="243"/>
      <c r="H887" s="243"/>
      <c r="I887" s="243"/>
      <c r="J887" s="243"/>
      <c r="K887" s="243"/>
      <c r="L887" s="243"/>
      <c r="M887" s="243"/>
    </row>
    <row r="888" spans="1:13" x14ac:dyDescent="0.2">
      <c r="A888" s="835">
        <v>24089</v>
      </c>
      <c r="B888" s="808" t="s">
        <v>1376</v>
      </c>
      <c r="C888" s="927"/>
      <c r="D888" s="1055">
        <f>'[15]Input Sheet'!Q170</f>
        <v>0</v>
      </c>
      <c r="F888" s="911">
        <v>0</v>
      </c>
      <c r="G888" s="243"/>
      <c r="H888" s="243"/>
      <c r="I888" s="243"/>
      <c r="J888" s="243"/>
      <c r="K888" s="243"/>
      <c r="L888" s="243"/>
      <c r="M888" s="243"/>
    </row>
    <row r="889" spans="1:13" x14ac:dyDescent="0.2">
      <c r="A889" s="835">
        <v>24091</v>
      </c>
      <c r="B889" s="808" t="s">
        <v>1377</v>
      </c>
      <c r="C889" s="927"/>
      <c r="D889" s="1055">
        <f>'[15]Input Sheet'!Q171</f>
        <v>0</v>
      </c>
      <c r="F889" s="911">
        <v>0</v>
      </c>
      <c r="G889" s="243"/>
      <c r="H889" s="243"/>
      <c r="I889" s="243"/>
      <c r="J889" s="243"/>
      <c r="K889" s="243"/>
      <c r="L889" s="243"/>
      <c r="M889" s="243"/>
    </row>
    <row r="890" spans="1:13" x14ac:dyDescent="0.2">
      <c r="A890" s="835">
        <v>24092</v>
      </c>
      <c r="B890" s="808" t="s">
        <v>1378</v>
      </c>
      <c r="C890" s="927"/>
      <c r="D890" s="1055">
        <f>'[15]Input Sheet'!Q172</f>
        <v>0</v>
      </c>
      <c r="F890" s="911">
        <v>0</v>
      </c>
      <c r="G890" s="243"/>
      <c r="H890" s="243"/>
      <c r="I890" s="243"/>
      <c r="J890" s="243"/>
      <c r="K890" s="243"/>
      <c r="L890" s="243"/>
      <c r="M890" s="243"/>
    </row>
    <row r="891" spans="1:13" x14ac:dyDescent="0.2">
      <c r="A891" s="835">
        <v>24101</v>
      </c>
      <c r="B891" s="808" t="s">
        <v>1379</v>
      </c>
      <c r="C891" s="927"/>
      <c r="D891" s="1055">
        <f>'[15]Input Sheet'!Q173</f>
        <v>0</v>
      </c>
      <c r="F891" s="911">
        <v>0</v>
      </c>
      <c r="G891" s="243"/>
      <c r="H891" s="243"/>
      <c r="I891" s="243"/>
      <c r="J891" s="243"/>
      <c r="K891" s="243"/>
      <c r="L891" s="243"/>
      <c r="M891" s="243"/>
    </row>
    <row r="892" spans="1:13" x14ac:dyDescent="0.2">
      <c r="A892" s="835">
        <v>24102</v>
      </c>
      <c r="B892" s="808" t="s">
        <v>1380</v>
      </c>
      <c r="C892" s="927"/>
      <c r="D892" s="1055">
        <f>'[15]Input Sheet'!Q174</f>
        <v>0</v>
      </c>
      <c r="F892" s="911">
        <v>0</v>
      </c>
      <c r="G892" s="243"/>
      <c r="H892" s="243"/>
      <c r="I892" s="243"/>
      <c r="J892" s="243"/>
      <c r="K892" s="243"/>
      <c r="L892" s="243"/>
      <c r="M892" s="243"/>
    </row>
    <row r="893" spans="1:13" x14ac:dyDescent="0.2">
      <c r="A893" s="835">
        <v>24111</v>
      </c>
      <c r="B893" s="808" t="s">
        <v>1381</v>
      </c>
      <c r="C893" s="927"/>
      <c r="D893" s="1055">
        <f>'[15]Input Sheet'!Q175</f>
        <v>0</v>
      </c>
      <c r="F893" s="911">
        <v>0</v>
      </c>
      <c r="G893" s="243"/>
      <c r="H893" s="243"/>
      <c r="I893" s="243"/>
      <c r="J893" s="243"/>
      <c r="K893" s="243"/>
      <c r="L893" s="243"/>
      <c r="M893" s="243"/>
    </row>
    <row r="894" spans="1:13" x14ac:dyDescent="0.2">
      <c r="A894" s="835">
        <v>24112</v>
      </c>
      <c r="B894" s="808" t="s">
        <v>1382</v>
      </c>
      <c r="C894" s="927"/>
      <c r="D894" s="1055">
        <f>'[15]Input Sheet'!Q176</f>
        <v>0</v>
      </c>
      <c r="F894" s="911">
        <v>0</v>
      </c>
      <c r="G894" s="243"/>
      <c r="H894" s="243"/>
      <c r="I894" s="243"/>
      <c r="J894" s="243"/>
      <c r="K894" s="243"/>
      <c r="L894" s="243"/>
      <c r="M894" s="243"/>
    </row>
    <row r="895" spans="1:13" x14ac:dyDescent="0.2">
      <c r="A895" s="835">
        <v>24121</v>
      </c>
      <c r="B895" s="808" t="s">
        <v>1383</v>
      </c>
      <c r="C895" s="927"/>
      <c r="D895" s="1055">
        <f>'[15]Input Sheet'!Q177</f>
        <v>0</v>
      </c>
      <c r="F895" s="911">
        <v>0</v>
      </c>
      <c r="G895" s="243"/>
      <c r="H895" s="243"/>
      <c r="I895" s="243"/>
      <c r="J895" s="243"/>
      <c r="K895" s="243"/>
      <c r="L895" s="243"/>
      <c r="M895" s="243"/>
    </row>
    <row r="896" spans="1:13" x14ac:dyDescent="0.2">
      <c r="A896" s="835">
        <v>24122</v>
      </c>
      <c r="B896" s="808" t="s">
        <v>1384</v>
      </c>
      <c r="C896" s="927"/>
      <c r="D896" s="1055">
        <f>'[15]Input Sheet'!Q178</f>
        <v>0</v>
      </c>
      <c r="F896" s="911">
        <v>0</v>
      </c>
      <c r="G896" s="243"/>
      <c r="H896" s="243"/>
      <c r="I896" s="243"/>
      <c r="J896" s="243"/>
      <c r="K896" s="243"/>
      <c r="L896" s="243"/>
      <c r="M896" s="243"/>
    </row>
    <row r="897" spans="1:13" x14ac:dyDescent="0.2">
      <c r="A897" s="835">
        <v>24123</v>
      </c>
      <c r="B897" s="808" t="s">
        <v>1385</v>
      </c>
      <c r="C897" s="927"/>
      <c r="D897" s="1055">
        <f>'[15]Input Sheet'!Q179</f>
        <v>0</v>
      </c>
      <c r="F897" s="911">
        <v>0</v>
      </c>
      <c r="G897" s="243"/>
      <c r="H897" s="243"/>
      <c r="I897" s="243"/>
      <c r="J897" s="243"/>
      <c r="K897" s="243"/>
      <c r="L897" s="243"/>
      <c r="M897" s="243"/>
    </row>
    <row r="898" spans="1:13" x14ac:dyDescent="0.2">
      <c r="A898" s="835">
        <v>24124</v>
      </c>
      <c r="B898" s="808" t="s">
        <v>1386</v>
      </c>
      <c r="C898" s="927"/>
      <c r="D898" s="1055">
        <f>'[15]Input Sheet'!Q180</f>
        <v>6.8161999999999997E-4</v>
      </c>
      <c r="F898" s="911">
        <v>8.0316000000000003E-4</v>
      </c>
      <c r="G898" s="243"/>
      <c r="H898" s="243"/>
      <c r="I898" s="243"/>
      <c r="J898" s="243"/>
      <c r="K898" s="243"/>
      <c r="L898" s="243"/>
      <c r="M898" s="243"/>
    </row>
    <row r="899" spans="1:13" x14ac:dyDescent="0.2">
      <c r="A899" s="835">
        <v>24131</v>
      </c>
      <c r="B899" s="808" t="s">
        <v>1387</v>
      </c>
      <c r="C899" s="927"/>
      <c r="D899" s="1055">
        <f>'[15]Input Sheet'!Q185</f>
        <v>0</v>
      </c>
      <c r="F899" s="911">
        <v>0</v>
      </c>
      <c r="G899" s="243"/>
      <c r="H899" s="243"/>
      <c r="I899" s="243"/>
      <c r="J899" s="243"/>
      <c r="K899" s="243"/>
      <c r="L899" s="243"/>
      <c r="M899" s="243"/>
    </row>
    <row r="900" spans="1:13" x14ac:dyDescent="0.2">
      <c r="A900" s="835">
        <v>24132</v>
      </c>
      <c r="B900" s="808" t="s">
        <v>1388</v>
      </c>
      <c r="C900" s="927"/>
      <c r="D900" s="1055">
        <f>'[15]Input Sheet'!Q186</f>
        <v>0</v>
      </c>
      <c r="F900" s="911">
        <v>0</v>
      </c>
      <c r="G900" s="243"/>
      <c r="H900" s="243"/>
      <c r="I900" s="243"/>
      <c r="J900" s="243"/>
      <c r="K900" s="243"/>
      <c r="L900" s="243"/>
      <c r="M900" s="243"/>
    </row>
    <row r="901" spans="1:13" x14ac:dyDescent="0.2">
      <c r="A901" s="835">
        <v>24133</v>
      </c>
      <c r="B901" s="808" t="s">
        <v>1389</v>
      </c>
      <c r="C901" s="927"/>
      <c r="D901" s="1055">
        <f>'[15]Input Sheet'!Q187</f>
        <v>-0.92</v>
      </c>
      <c r="F901" s="911">
        <v>-0.92</v>
      </c>
      <c r="G901" s="243"/>
      <c r="H901" s="243"/>
      <c r="I901" s="243"/>
      <c r="J901" s="243"/>
      <c r="K901" s="243"/>
      <c r="L901" s="243"/>
      <c r="M901" s="243"/>
    </row>
    <row r="902" spans="1:13" x14ac:dyDescent="0.2">
      <c r="A902" s="835">
        <v>24134</v>
      </c>
      <c r="B902" s="808" t="s">
        <v>1390</v>
      </c>
      <c r="C902" s="927"/>
      <c r="D902" s="1055">
        <f>'[15]Input Sheet'!Q188</f>
        <v>1.3395439630000001</v>
      </c>
      <c r="F902" s="911">
        <v>0.92226775900000002</v>
      </c>
      <c r="G902" s="243"/>
      <c r="H902" s="243"/>
      <c r="I902" s="243"/>
      <c r="J902" s="243"/>
      <c r="K902" s="243"/>
      <c r="L902" s="243"/>
      <c r="M902" s="243"/>
    </row>
    <row r="903" spans="1:13" x14ac:dyDescent="0.2">
      <c r="A903" s="835">
        <v>24141</v>
      </c>
      <c r="B903" s="808" t="s">
        <v>1391</v>
      </c>
      <c r="C903" s="927"/>
      <c r="D903" s="1055">
        <f>'[15]Input Sheet'!Q192</f>
        <v>-3.1310970000000002E-3</v>
      </c>
      <c r="F903" s="911">
        <v>-3.1310970000000002E-3</v>
      </c>
      <c r="G903" s="243"/>
      <c r="H903" s="243"/>
      <c r="I903" s="243"/>
      <c r="J903" s="243"/>
      <c r="K903" s="243"/>
      <c r="L903" s="243"/>
      <c r="M903" s="243"/>
    </row>
    <row r="904" spans="1:13" x14ac:dyDescent="0.2">
      <c r="A904" s="835">
        <v>24142</v>
      </c>
      <c r="B904" s="808" t="s">
        <v>1392</v>
      </c>
      <c r="C904" s="927"/>
      <c r="D904" s="1055">
        <f>'[15]Input Sheet'!Q193</f>
        <v>0.10419128699999999</v>
      </c>
      <c r="F904" s="911">
        <v>2.1045789000000002E-2</v>
      </c>
      <c r="G904" s="243"/>
      <c r="H904" s="243"/>
      <c r="I904" s="243"/>
      <c r="J904" s="243"/>
      <c r="K904" s="243"/>
      <c r="L904" s="243"/>
      <c r="M904" s="243"/>
    </row>
    <row r="905" spans="1:13" x14ac:dyDescent="0.2">
      <c r="A905" s="835">
        <v>24151</v>
      </c>
      <c r="B905" s="808" t="s">
        <v>1393</v>
      </c>
      <c r="C905" s="927"/>
      <c r="D905" s="1055">
        <f>'[15]Input Sheet'!Q194</f>
        <v>0</v>
      </c>
      <c r="F905" s="911">
        <v>0</v>
      </c>
      <c r="G905" s="243"/>
      <c r="H905" s="243"/>
      <c r="I905" s="243"/>
      <c r="J905" s="243"/>
      <c r="K905" s="243"/>
      <c r="L905" s="243"/>
      <c r="M905" s="243"/>
    </row>
    <row r="906" spans="1:13" x14ac:dyDescent="0.2">
      <c r="A906" s="835">
        <v>24152</v>
      </c>
      <c r="B906" s="808" t="s">
        <v>1394</v>
      </c>
      <c r="C906" s="927"/>
      <c r="D906" s="1055">
        <f>'[15]Input Sheet'!Q195</f>
        <v>0</v>
      </c>
      <c r="F906" s="911">
        <v>0</v>
      </c>
      <c r="G906" s="243"/>
      <c r="H906" s="243"/>
      <c r="I906" s="243"/>
      <c r="J906" s="243"/>
      <c r="K906" s="243"/>
      <c r="L906" s="243"/>
      <c r="M906" s="243"/>
    </row>
    <row r="907" spans="1:13" x14ac:dyDescent="0.2">
      <c r="A907" s="835">
        <v>24161</v>
      </c>
      <c r="B907" s="808" t="s">
        <v>1395</v>
      </c>
      <c r="C907" s="927"/>
      <c r="D907" s="1055">
        <f>'[15]Input Sheet'!Q196</f>
        <v>0</v>
      </c>
      <c r="F907" s="911">
        <v>0</v>
      </c>
      <c r="G907" s="243"/>
      <c r="H907" s="243"/>
      <c r="I907" s="243"/>
      <c r="J907" s="243"/>
      <c r="K907" s="243"/>
      <c r="L907" s="243"/>
      <c r="M907" s="243"/>
    </row>
    <row r="908" spans="1:13" x14ac:dyDescent="0.2">
      <c r="A908" s="835">
        <v>24162</v>
      </c>
      <c r="B908" s="808" t="s">
        <v>1396</v>
      </c>
      <c r="C908" s="927"/>
      <c r="D908" s="1055">
        <f>'[15]Input Sheet'!Q197</f>
        <v>0</v>
      </c>
      <c r="F908" s="911">
        <v>0</v>
      </c>
      <c r="G908" s="243"/>
      <c r="H908" s="243"/>
      <c r="I908" s="243"/>
      <c r="J908" s="243"/>
      <c r="K908" s="243"/>
      <c r="L908" s="243"/>
      <c r="M908" s="243"/>
    </row>
    <row r="909" spans="1:13" x14ac:dyDescent="0.2">
      <c r="A909" s="835">
        <v>24171</v>
      </c>
      <c r="B909" s="808" t="s">
        <v>1397</v>
      </c>
      <c r="C909" s="927"/>
      <c r="D909" s="1055">
        <f>'[15]Input Sheet'!Q198</f>
        <v>6.3761999999999998E-4</v>
      </c>
      <c r="F909" s="911">
        <v>6.3761999999999998E-4</v>
      </c>
      <c r="G909" s="243"/>
      <c r="H909" s="243"/>
      <c r="I909" s="243"/>
      <c r="J909" s="243"/>
      <c r="K909" s="243"/>
      <c r="L909" s="243"/>
      <c r="M909" s="243"/>
    </row>
    <row r="910" spans="1:13" x14ac:dyDescent="0.2">
      <c r="A910" s="835">
        <v>24172</v>
      </c>
      <c r="B910" s="808" t="s">
        <v>1398</v>
      </c>
      <c r="C910" s="927"/>
      <c r="D910" s="1055">
        <f>'[15]Input Sheet'!Q199</f>
        <v>3.0898459999999998E-3</v>
      </c>
      <c r="F910" s="911">
        <v>1.0788252E-2</v>
      </c>
      <c r="G910" s="243"/>
      <c r="H910" s="243"/>
      <c r="I910" s="243"/>
      <c r="J910" s="243"/>
      <c r="K910" s="243"/>
      <c r="L910" s="243"/>
      <c r="M910" s="243"/>
    </row>
    <row r="911" spans="1:13" x14ac:dyDescent="0.2">
      <c r="A911" s="835">
        <v>24174</v>
      </c>
      <c r="B911" s="808" t="s">
        <v>1399</v>
      </c>
      <c r="C911" s="1057"/>
      <c r="D911" s="1055">
        <f>'[15]Input Sheet'!Q200</f>
        <v>7.563828</v>
      </c>
      <c r="E911" s="1058"/>
      <c r="F911" s="1058">
        <v>259.33296949999999</v>
      </c>
      <c r="G911" s="243"/>
      <c r="H911" s="243"/>
      <c r="I911" s="243"/>
      <c r="J911" s="243"/>
      <c r="K911" s="243"/>
      <c r="L911" s="243"/>
      <c r="M911" s="243"/>
    </row>
    <row r="912" spans="1:13" x14ac:dyDescent="0.2">
      <c r="A912" s="835">
        <v>24181</v>
      </c>
      <c r="B912" s="808" t="s">
        <v>1400</v>
      </c>
      <c r="C912" s="927"/>
      <c r="D912" s="1055">
        <f>'[15]Input Sheet'!Q201</f>
        <v>0</v>
      </c>
      <c r="F912" s="911">
        <v>0</v>
      </c>
      <c r="G912" s="243"/>
      <c r="H912" s="243"/>
      <c r="I912" s="243"/>
      <c r="J912" s="243"/>
      <c r="K912" s="243"/>
      <c r="L912" s="243"/>
      <c r="M912" s="243"/>
    </row>
    <row r="913" spans="1:13" x14ac:dyDescent="0.2">
      <c r="A913" s="835">
        <v>24182</v>
      </c>
      <c r="B913" s="808" t="s">
        <v>1401</v>
      </c>
      <c r="C913" s="927"/>
      <c r="D913" s="1055">
        <f>'[15]Input Sheet'!Q202</f>
        <v>0</v>
      </c>
      <c r="F913" s="911">
        <v>0</v>
      </c>
      <c r="G913" s="243"/>
      <c r="H913" s="243"/>
      <c r="I913" s="243"/>
      <c r="J913" s="243"/>
      <c r="K913" s="243"/>
      <c r="L913" s="243"/>
      <c r="M913" s="243"/>
    </row>
    <row r="914" spans="1:13" x14ac:dyDescent="0.2">
      <c r="A914" s="835">
        <v>24184</v>
      </c>
      <c r="B914" s="808" t="s">
        <v>1402</v>
      </c>
      <c r="C914" s="927"/>
      <c r="D914" s="1055">
        <f>'[15]Input Sheet'!Q203</f>
        <v>9.1887000000000013E-4</v>
      </c>
      <c r="F914" s="911">
        <v>9.8377399999999998E-4</v>
      </c>
      <c r="G914" s="243"/>
      <c r="H914" s="243"/>
      <c r="I914" s="243"/>
      <c r="J914" s="243"/>
      <c r="K914" s="243"/>
      <c r="L914" s="243"/>
      <c r="M914" s="243"/>
    </row>
    <row r="915" spans="1:13" x14ac:dyDescent="0.2">
      <c r="A915" s="835">
        <v>24191</v>
      </c>
      <c r="B915" s="808" t="s">
        <v>1403</v>
      </c>
      <c r="C915" s="927"/>
      <c r="D915" s="1055">
        <f>'[15]Input Sheet'!Q204</f>
        <v>0</v>
      </c>
      <c r="F915" s="911">
        <v>0</v>
      </c>
      <c r="G915" s="243"/>
      <c r="H915" s="243"/>
      <c r="I915" s="243"/>
      <c r="J915" s="243"/>
      <c r="K915" s="243"/>
      <c r="L915" s="243"/>
      <c r="M915" s="243"/>
    </row>
    <row r="916" spans="1:13" x14ac:dyDescent="0.2">
      <c r="A916" s="835">
        <v>24192</v>
      </c>
      <c r="B916" s="808" t="s">
        <v>1404</v>
      </c>
      <c r="C916" s="927"/>
      <c r="D916" s="1055">
        <f>'[15]Input Sheet'!Q205</f>
        <v>0</v>
      </c>
      <c r="F916" s="911">
        <v>0</v>
      </c>
      <c r="G916" s="243"/>
      <c r="H916" s="243"/>
      <c r="I916" s="243"/>
      <c r="J916" s="243"/>
      <c r="K916" s="243"/>
      <c r="L916" s="243"/>
      <c r="M916" s="243"/>
    </row>
    <row r="917" spans="1:13" x14ac:dyDescent="0.2">
      <c r="A917" s="835">
        <v>24201</v>
      </c>
      <c r="B917" s="808" t="s">
        <v>1405</v>
      </c>
      <c r="C917" s="927"/>
      <c r="D917" s="1055">
        <f>'[15]Input Sheet'!Q207</f>
        <v>4.226067E-3</v>
      </c>
      <c r="F917" s="911">
        <v>4.226067E-3</v>
      </c>
      <c r="G917" s="243"/>
      <c r="H917" s="243"/>
      <c r="I917" s="243"/>
      <c r="J917" s="243"/>
      <c r="K917" s="243"/>
      <c r="L917" s="243"/>
      <c r="M917" s="243"/>
    </row>
    <row r="918" spans="1:13" x14ac:dyDescent="0.2">
      <c r="A918" s="835">
        <v>24202</v>
      </c>
      <c r="B918" s="808" t="s">
        <v>1406</v>
      </c>
      <c r="C918" s="927"/>
      <c r="D918" s="1055">
        <f>'[15]Input Sheet'!Q208</f>
        <v>7.0428799999999996E-4</v>
      </c>
      <c r="F918" s="911">
        <v>7.55088E-4</v>
      </c>
      <c r="G918" s="243"/>
      <c r="H918" s="243"/>
      <c r="I918" s="243"/>
      <c r="J918" s="243"/>
      <c r="K918" s="243"/>
      <c r="L918" s="243"/>
      <c r="M918" s="243"/>
    </row>
    <row r="919" spans="1:13" x14ac:dyDescent="0.2">
      <c r="A919" s="835">
        <v>24206</v>
      </c>
      <c r="B919" s="808" t="s">
        <v>1407</v>
      </c>
      <c r="C919" s="927"/>
      <c r="D919" s="1055">
        <f>'[15]Input Sheet'!Q209</f>
        <v>1.5947979999999999E-3</v>
      </c>
      <c r="F919" s="911">
        <v>1.5947979999999999E-3</v>
      </c>
      <c r="G919" s="243"/>
      <c r="H919" s="243"/>
      <c r="I919" s="243"/>
      <c r="J919" s="243"/>
      <c r="K919" s="243"/>
      <c r="L919" s="243"/>
      <c r="M919" s="243"/>
    </row>
    <row r="920" spans="1:13" x14ac:dyDescent="0.2">
      <c r="A920" s="835">
        <v>24207</v>
      </c>
      <c r="B920" s="808" t="s">
        <v>1408</v>
      </c>
      <c r="C920" s="927"/>
      <c r="D920" s="1055">
        <f>'[15]Input Sheet'!Q210</f>
        <v>2.5719880000000003E-3</v>
      </c>
      <c r="F920" s="911">
        <v>2.5719880000000003E-3</v>
      </c>
      <c r="G920" s="243"/>
      <c r="H920" s="243"/>
      <c r="I920" s="243"/>
      <c r="J920" s="243"/>
      <c r="K920" s="243"/>
      <c r="L920" s="243"/>
      <c r="M920" s="243"/>
    </row>
    <row r="921" spans="1:13" x14ac:dyDescent="0.2">
      <c r="A921" s="835">
        <v>24211</v>
      </c>
      <c r="B921" s="808" t="s">
        <v>1409</v>
      </c>
      <c r="C921" s="927"/>
      <c r="D921" s="1055">
        <f>'[15]Input Sheet'!Q211</f>
        <v>0</v>
      </c>
      <c r="F921" s="911">
        <v>0</v>
      </c>
      <c r="G921" s="243"/>
      <c r="H921" s="243"/>
      <c r="I921" s="243"/>
      <c r="J921" s="243"/>
      <c r="K921" s="243"/>
      <c r="L921" s="243"/>
      <c r="M921" s="243"/>
    </row>
    <row r="922" spans="1:13" x14ac:dyDescent="0.2">
      <c r="A922" s="835">
        <v>24212</v>
      </c>
      <c r="B922" s="808" t="s">
        <v>1410</v>
      </c>
      <c r="C922" s="927"/>
      <c r="D922" s="1055">
        <f>'[15]Input Sheet'!Q212</f>
        <v>0</v>
      </c>
      <c r="F922" s="911">
        <v>0</v>
      </c>
      <c r="G922" s="243"/>
      <c r="H922" s="243"/>
      <c r="I922" s="243"/>
      <c r="J922" s="243"/>
      <c r="K922" s="243"/>
      <c r="L922" s="243"/>
      <c r="M922" s="243"/>
    </row>
    <row r="923" spans="1:13" x14ac:dyDescent="0.2">
      <c r="A923" s="835">
        <v>24213</v>
      </c>
      <c r="B923" s="808" t="s">
        <v>1411</v>
      </c>
      <c r="C923" s="927"/>
      <c r="D923" s="1055">
        <f>'[15]Input Sheet'!Q213</f>
        <v>0</v>
      </c>
      <c r="F923" s="911">
        <v>0</v>
      </c>
      <c r="G923" s="243"/>
      <c r="H923" s="243"/>
      <c r="I923" s="243"/>
      <c r="J923" s="243"/>
      <c r="K923" s="243"/>
      <c r="L923" s="243"/>
      <c r="M923" s="243"/>
    </row>
    <row r="924" spans="1:13" x14ac:dyDescent="0.2">
      <c r="A924" s="835">
        <v>24214</v>
      </c>
      <c r="B924" s="808" t="s">
        <v>1412</v>
      </c>
      <c r="C924" s="927"/>
      <c r="D924" s="1055">
        <f>'[15]Input Sheet'!Q214</f>
        <v>0</v>
      </c>
      <c r="F924" s="911">
        <v>0</v>
      </c>
      <c r="G924" s="243"/>
      <c r="H924" s="243"/>
      <c r="I924" s="243"/>
      <c r="J924" s="243"/>
      <c r="K924" s="243"/>
      <c r="L924" s="243"/>
      <c r="M924" s="243"/>
    </row>
    <row r="925" spans="1:13" x14ac:dyDescent="0.2">
      <c r="A925" s="835">
        <v>24216</v>
      </c>
      <c r="B925" s="808" t="s">
        <v>1413</v>
      </c>
      <c r="C925" s="927"/>
      <c r="D925" s="1055">
        <f>'[15]Input Sheet'!Q215</f>
        <v>0</v>
      </c>
      <c r="F925" s="911">
        <v>0</v>
      </c>
      <c r="G925" s="243"/>
      <c r="H925" s="243"/>
      <c r="I925" s="243"/>
      <c r="J925" s="243"/>
      <c r="K925" s="243"/>
      <c r="L925" s="243"/>
      <c r="M925" s="243"/>
    </row>
    <row r="926" spans="1:13" x14ac:dyDescent="0.2">
      <c r="A926" s="835">
        <v>24217</v>
      </c>
      <c r="B926" s="808" t="s">
        <v>1414</v>
      </c>
      <c r="C926" s="927"/>
      <c r="D926" s="1055">
        <f>'[15]Input Sheet'!Q216</f>
        <v>0</v>
      </c>
      <c r="F926" s="911">
        <v>0</v>
      </c>
      <c r="G926" s="243"/>
      <c r="H926" s="243"/>
      <c r="I926" s="243"/>
      <c r="J926" s="243"/>
      <c r="K926" s="243"/>
      <c r="L926" s="243"/>
      <c r="M926" s="243"/>
    </row>
    <row r="927" spans="1:13" x14ac:dyDescent="0.2">
      <c r="A927" s="835">
        <v>24221</v>
      </c>
      <c r="B927" s="808" t="s">
        <v>1415</v>
      </c>
      <c r="C927" s="927"/>
      <c r="D927" s="1055">
        <f>'[15]Input Sheet'!Q217</f>
        <v>0.27321061699999999</v>
      </c>
      <c r="F927" s="927">
        <v>0.27321061699999999</v>
      </c>
      <c r="G927" s="243"/>
      <c r="H927" s="243"/>
      <c r="I927" s="243"/>
      <c r="J927" s="243"/>
      <c r="K927" s="243"/>
      <c r="L927" s="243"/>
      <c r="M927" s="243"/>
    </row>
    <row r="928" spans="1:13" x14ac:dyDescent="0.2">
      <c r="A928" s="835">
        <v>24222</v>
      </c>
      <c r="B928" s="808" t="s">
        <v>1416</v>
      </c>
      <c r="C928" s="927"/>
      <c r="D928" s="1055">
        <f>'[15]Input Sheet'!Q218</f>
        <v>-0.21484057999999998</v>
      </c>
      <c r="F928" s="927">
        <v>-0.193485987</v>
      </c>
      <c r="G928" s="243"/>
      <c r="H928" s="243"/>
      <c r="I928" s="243"/>
      <c r="J928" s="243"/>
      <c r="K928" s="243"/>
      <c r="L928" s="243"/>
      <c r="M928" s="243"/>
    </row>
    <row r="929" spans="1:13" x14ac:dyDescent="0.2">
      <c r="A929" s="835">
        <v>24223</v>
      </c>
      <c r="B929" s="808" t="s">
        <v>1417</v>
      </c>
      <c r="C929" s="927"/>
      <c r="D929" s="1055">
        <f>'[15]Input Sheet'!Q219</f>
        <v>5.0000000000000001E-4</v>
      </c>
      <c r="F929" s="927">
        <v>5.0000000000000001E-4</v>
      </c>
      <c r="G929" s="243"/>
      <c r="H929" s="243"/>
      <c r="I929" s="243"/>
      <c r="J929" s="243"/>
      <c r="K929" s="243"/>
      <c r="L929" s="243"/>
      <c r="M929" s="243"/>
    </row>
    <row r="930" spans="1:13" x14ac:dyDescent="0.2">
      <c r="A930" s="835">
        <v>24224</v>
      </c>
      <c r="B930" s="808" t="s">
        <v>1418</v>
      </c>
      <c r="C930" s="927"/>
      <c r="D930" s="1055">
        <f>'[15]Input Sheet'!Q220</f>
        <v>-4.9991E-4</v>
      </c>
      <c r="F930" s="927">
        <v>-4.9991E-4</v>
      </c>
      <c r="G930" s="243"/>
      <c r="H930" s="243"/>
      <c r="I930" s="243"/>
      <c r="J930" s="243"/>
      <c r="K930" s="243"/>
      <c r="L930" s="243"/>
      <c r="M930" s="243"/>
    </row>
    <row r="931" spans="1:13" x14ac:dyDescent="0.2">
      <c r="A931" s="835">
        <v>24231</v>
      </c>
      <c r="B931" s="808" t="s">
        <v>1419</v>
      </c>
      <c r="C931" s="927"/>
      <c r="D931" s="1055">
        <f>'[15]Input Sheet'!Q221</f>
        <v>5.0005799999999995E-4</v>
      </c>
      <c r="F931" s="927">
        <v>5.0005799999999995E-4</v>
      </c>
      <c r="G931" s="243"/>
      <c r="H931" s="243"/>
      <c r="I931" s="243"/>
      <c r="J931" s="243"/>
      <c r="K931" s="243"/>
      <c r="L931" s="243"/>
      <c r="M931" s="243"/>
    </row>
    <row r="932" spans="1:13" x14ac:dyDescent="0.2">
      <c r="A932" s="835">
        <v>24232</v>
      </c>
      <c r="B932" s="808" t="s">
        <v>1420</v>
      </c>
      <c r="C932" s="927"/>
      <c r="D932" s="1055">
        <f>'[15]Input Sheet'!Q222</f>
        <v>-5.0005799999999995E-4</v>
      </c>
      <c r="F932" s="927">
        <v>-4.7205799999999997E-4</v>
      </c>
      <c r="G932" s="243"/>
      <c r="H932" s="243"/>
      <c r="I932" s="243"/>
      <c r="J932" s="243"/>
      <c r="K932" s="243"/>
      <c r="L932" s="243"/>
      <c r="M932" s="243"/>
    </row>
    <row r="933" spans="1:13" x14ac:dyDescent="0.2">
      <c r="A933" s="835">
        <v>24241</v>
      </c>
      <c r="B933" s="808" t="s">
        <v>1421</v>
      </c>
      <c r="C933" s="927"/>
      <c r="D933" s="1055">
        <f>'[15]Input Sheet'!Q223</f>
        <v>9.5619376000000006E-2</v>
      </c>
      <c r="F933" s="927">
        <v>9.5619376000000006E-2</v>
      </c>
      <c r="G933" s="243"/>
      <c r="H933" s="243"/>
      <c r="I933" s="243"/>
      <c r="J933" s="243"/>
      <c r="K933" s="243"/>
      <c r="L933" s="243"/>
      <c r="M933" s="243"/>
    </row>
    <row r="934" spans="1:13" x14ac:dyDescent="0.2">
      <c r="A934" s="835">
        <v>24242</v>
      </c>
      <c r="B934" s="808" t="s">
        <v>1422</v>
      </c>
      <c r="C934" s="927"/>
      <c r="D934" s="1055">
        <f>'[15]Input Sheet'!Q224</f>
        <v>1.158974779</v>
      </c>
      <c r="F934" s="927">
        <v>-2.9742330000000002E-3</v>
      </c>
      <c r="G934" s="243"/>
      <c r="H934" s="243"/>
      <c r="I934" s="243"/>
      <c r="J934" s="243"/>
      <c r="K934" s="243"/>
      <c r="L934" s="243"/>
      <c r="M934" s="243"/>
    </row>
    <row r="935" spans="1:13" x14ac:dyDescent="0.2">
      <c r="A935" s="835">
        <v>24251</v>
      </c>
      <c r="B935" s="808" t="s">
        <v>1423</v>
      </c>
      <c r="C935" s="927"/>
      <c r="D935" s="1055">
        <f>'[15]Input Sheet'!Q225</f>
        <v>0</v>
      </c>
      <c r="F935" s="927">
        <v>0</v>
      </c>
      <c r="G935" s="243"/>
      <c r="H935" s="243"/>
      <c r="I935" s="243"/>
      <c r="J935" s="243"/>
      <c r="K935" s="243"/>
      <c r="L935" s="243"/>
      <c r="M935" s="243"/>
    </row>
    <row r="936" spans="1:13" x14ac:dyDescent="0.2">
      <c r="A936" s="835">
        <v>24252</v>
      </c>
      <c r="B936" s="808" t="s">
        <v>1424</v>
      </c>
      <c r="C936" s="927"/>
      <c r="D936" s="1055">
        <f>'[15]Input Sheet'!Q226</f>
        <v>0</v>
      </c>
      <c r="F936" s="927">
        <v>0</v>
      </c>
      <c r="G936" s="243"/>
      <c r="H936" s="243"/>
      <c r="I936" s="243"/>
      <c r="J936" s="243"/>
      <c r="K936" s="243"/>
      <c r="L936" s="243"/>
      <c r="M936" s="243"/>
    </row>
    <row r="937" spans="1:13" x14ac:dyDescent="0.2">
      <c r="A937" s="835">
        <v>24253</v>
      </c>
      <c r="B937" s="808" t="s">
        <v>1425</v>
      </c>
      <c r="C937" s="927"/>
      <c r="D937" s="1055">
        <f>'[15]Input Sheet'!Q227</f>
        <v>1.5594479999999999E-2</v>
      </c>
      <c r="F937" s="927">
        <v>1.5594479999999999E-2</v>
      </c>
      <c r="G937" s="243"/>
      <c r="H937" s="243"/>
      <c r="I937" s="243"/>
      <c r="J937" s="243"/>
      <c r="K937" s="243"/>
      <c r="L937" s="243"/>
      <c r="M937" s="243"/>
    </row>
    <row r="938" spans="1:13" x14ac:dyDescent="0.2">
      <c r="A938" s="835">
        <v>24254</v>
      </c>
      <c r="B938" s="808" t="s">
        <v>1426</v>
      </c>
      <c r="C938" s="927"/>
      <c r="D938" s="1055">
        <f>'[15]Input Sheet'!Q228</f>
        <v>6.9242000000000001E-3</v>
      </c>
      <c r="F938" s="927">
        <v>0.16340547999999999</v>
      </c>
      <c r="G938" s="243"/>
      <c r="H938" s="243"/>
      <c r="I938" s="243"/>
      <c r="J938" s="243"/>
      <c r="K938" s="243"/>
      <c r="L938" s="243"/>
      <c r="M938" s="243"/>
    </row>
    <row r="939" spans="1:13" x14ac:dyDescent="0.2">
      <c r="A939" s="835">
        <v>24256</v>
      </c>
      <c r="B939" s="808" t="s">
        <v>1427</v>
      </c>
      <c r="C939" s="927"/>
      <c r="D939" s="1055">
        <f>'[15]Input Sheet'!Q229</f>
        <v>1.83873E-3</v>
      </c>
      <c r="F939" s="927">
        <v>1.83873E-3</v>
      </c>
      <c r="G939" s="243"/>
      <c r="H939" s="243"/>
      <c r="I939" s="243"/>
      <c r="J939" s="243"/>
      <c r="K939" s="243"/>
      <c r="L939" s="243"/>
      <c r="M939" s="243"/>
    </row>
    <row r="940" spans="1:13" x14ac:dyDescent="0.2">
      <c r="A940" s="835">
        <v>24257</v>
      </c>
      <c r="B940" s="808" t="s">
        <v>1428</v>
      </c>
      <c r="C940" s="927"/>
      <c r="D940" s="1055">
        <f>'[15]Input Sheet'!Q230</f>
        <v>0</v>
      </c>
      <c r="F940" s="911">
        <v>0</v>
      </c>
      <c r="G940" s="243"/>
      <c r="H940" s="243"/>
      <c r="I940" s="243"/>
      <c r="J940" s="243"/>
      <c r="K940" s="243"/>
      <c r="L940" s="243"/>
      <c r="M940" s="243"/>
    </row>
    <row r="941" spans="1:13" x14ac:dyDescent="0.2">
      <c r="A941" s="835">
        <v>24258</v>
      </c>
      <c r="B941" s="808" t="s">
        <v>1429</v>
      </c>
      <c r="C941" s="927"/>
      <c r="D941" s="1055">
        <f>'[15]Input Sheet'!Q231</f>
        <v>0</v>
      </c>
      <c r="F941" s="911">
        <v>0</v>
      </c>
      <c r="G941" s="243"/>
      <c r="H941" s="243"/>
      <c r="I941" s="243"/>
      <c r="J941" s="243"/>
      <c r="K941" s="243"/>
      <c r="L941" s="243"/>
      <c r="M941" s="243"/>
    </row>
    <row r="942" spans="1:13" x14ac:dyDescent="0.2">
      <c r="A942" s="835">
        <v>24259</v>
      </c>
      <c r="B942" s="808" t="s">
        <v>1430</v>
      </c>
      <c r="C942" s="927"/>
      <c r="D942" s="1055">
        <f>'[15]Input Sheet'!Q232</f>
        <v>0</v>
      </c>
      <c r="F942" s="911">
        <v>0</v>
      </c>
      <c r="G942" s="243"/>
      <c r="H942" s="243"/>
      <c r="I942" s="243"/>
      <c r="J942" s="243"/>
      <c r="K942" s="243"/>
      <c r="L942" s="243"/>
      <c r="M942" s="243"/>
    </row>
    <row r="943" spans="1:13" x14ac:dyDescent="0.2">
      <c r="A943" s="835">
        <v>24398</v>
      </c>
      <c r="B943" s="808" t="s">
        <v>1431</v>
      </c>
      <c r="C943" s="927"/>
      <c r="D943" s="1055">
        <f>'[15]Input Sheet'!Q233</f>
        <v>0</v>
      </c>
      <c r="F943" s="911">
        <v>0</v>
      </c>
      <c r="G943" s="243"/>
      <c r="H943" s="243"/>
      <c r="I943" s="243"/>
      <c r="J943" s="243"/>
      <c r="K943" s="243"/>
      <c r="L943" s="243"/>
      <c r="M943" s="243"/>
    </row>
    <row r="944" spans="1:13" x14ac:dyDescent="0.2">
      <c r="A944" s="835">
        <v>24399</v>
      </c>
      <c r="B944" s="808" t="s">
        <v>1432</v>
      </c>
      <c r="C944" s="927"/>
      <c r="D944" s="1055">
        <f>'[15]Input Sheet'!Q234</f>
        <v>4.5538999999999996E-3</v>
      </c>
      <c r="F944" s="911">
        <v>2.9388000000000001E-3</v>
      </c>
      <c r="G944" s="243"/>
      <c r="H944" s="243"/>
      <c r="I944" s="243"/>
      <c r="J944" s="243"/>
      <c r="K944" s="243"/>
      <c r="L944" s="243"/>
      <c r="M944" s="243"/>
    </row>
    <row r="945" spans="1:13" x14ac:dyDescent="0.2">
      <c r="A945" s="835">
        <v>24411</v>
      </c>
      <c r="B945" s="808" t="s">
        <v>1433</v>
      </c>
      <c r="C945" s="927"/>
      <c r="D945" s="1055">
        <f>'[15]Input Sheet'!Q236</f>
        <v>0.14689047399999999</v>
      </c>
      <c r="F945" s="911">
        <v>0.59440078899999993</v>
      </c>
      <c r="G945" s="243"/>
      <c r="H945" s="243"/>
      <c r="I945" s="243"/>
      <c r="J945" s="243"/>
      <c r="K945" s="243"/>
      <c r="L945" s="243"/>
      <c r="M945" s="243"/>
    </row>
    <row r="946" spans="1:13" x14ac:dyDescent="0.2">
      <c r="A946" s="835">
        <v>24412</v>
      </c>
      <c r="B946" s="808" t="s">
        <v>1434</v>
      </c>
      <c r="C946" s="927"/>
      <c r="D946" s="1055">
        <f>'[15]Input Sheet'!Q237</f>
        <v>0</v>
      </c>
      <c r="F946" s="911">
        <v>-6.1269499999999998E-2</v>
      </c>
      <c r="G946" s="243"/>
      <c r="H946" s="243"/>
      <c r="I946" s="243"/>
      <c r="J946" s="243"/>
      <c r="K946" s="243"/>
      <c r="L946" s="243"/>
      <c r="M946" s="243"/>
    </row>
    <row r="947" spans="1:13" x14ac:dyDescent="0.2">
      <c r="A947" s="835">
        <v>24416</v>
      </c>
      <c r="B947" s="808" t="s">
        <v>1435</v>
      </c>
      <c r="C947" s="927"/>
      <c r="D947" s="1055">
        <f>'[15]Input Sheet'!Q238</f>
        <v>0</v>
      </c>
      <c r="F947" s="911">
        <v>0</v>
      </c>
      <c r="G947" s="243"/>
      <c r="H947" s="243"/>
      <c r="I947" s="243"/>
      <c r="J947" s="243"/>
      <c r="K947" s="243"/>
      <c r="L947" s="243"/>
      <c r="M947" s="243"/>
    </row>
    <row r="948" spans="1:13" x14ac:dyDescent="0.2">
      <c r="A948" s="835">
        <v>24417</v>
      </c>
      <c r="B948" s="808" t="s">
        <v>1436</v>
      </c>
      <c r="C948" s="927"/>
      <c r="D948" s="1055">
        <f>'[15]Input Sheet'!Q239</f>
        <v>0</v>
      </c>
      <c r="F948" s="911">
        <v>0</v>
      </c>
      <c r="G948" s="243"/>
      <c r="H948" s="243"/>
      <c r="I948" s="243"/>
      <c r="J948" s="243"/>
      <c r="K948" s="243"/>
      <c r="L948" s="243"/>
      <c r="M948" s="243"/>
    </row>
    <row r="949" spans="1:13" x14ac:dyDescent="0.2">
      <c r="A949" s="835">
        <v>24421</v>
      </c>
      <c r="B949" s="808" t="s">
        <v>1437</v>
      </c>
      <c r="C949" s="927"/>
      <c r="D949" s="1055">
        <f>'[15]Input Sheet'!Q240</f>
        <v>0</v>
      </c>
      <c r="F949" s="911">
        <v>0</v>
      </c>
      <c r="G949" s="243"/>
      <c r="H949" s="243"/>
      <c r="I949" s="243"/>
      <c r="J949" s="243"/>
      <c r="K949" s="243"/>
      <c r="L949" s="243"/>
      <c r="M949" s="243"/>
    </row>
    <row r="950" spans="1:13" x14ac:dyDescent="0.2">
      <c r="A950" s="835">
        <v>24422</v>
      </c>
      <c r="B950" s="808" t="s">
        <v>1438</v>
      </c>
      <c r="C950" s="927"/>
      <c r="D950" s="1055">
        <f>'[15]Input Sheet'!Q241</f>
        <v>0</v>
      </c>
      <c r="F950" s="911">
        <v>0</v>
      </c>
      <c r="G950" s="243"/>
      <c r="H950" s="243"/>
      <c r="I950" s="243"/>
      <c r="J950" s="243"/>
      <c r="K950" s="243"/>
      <c r="L950" s="243"/>
      <c r="M950" s="243"/>
    </row>
    <row r="951" spans="1:13" x14ac:dyDescent="0.2">
      <c r="A951" s="835">
        <v>24431</v>
      </c>
      <c r="B951" s="808" t="s">
        <v>1439</v>
      </c>
      <c r="C951" s="927"/>
      <c r="D951" s="1055">
        <f>'[15]Input Sheet'!Q243</f>
        <v>7.3905612329999997</v>
      </c>
      <c r="F951" s="911">
        <v>9.0243488529999993</v>
      </c>
      <c r="G951" s="243"/>
      <c r="H951" s="243"/>
      <c r="I951" s="243"/>
      <c r="J951" s="243"/>
      <c r="K951" s="243"/>
      <c r="L951" s="243"/>
      <c r="M951" s="243"/>
    </row>
    <row r="952" spans="1:13" x14ac:dyDescent="0.2">
      <c r="A952" s="835">
        <v>24432</v>
      </c>
      <c r="B952" s="808" t="s">
        <v>1440</v>
      </c>
      <c r="C952" s="927"/>
      <c r="D952" s="1055">
        <f>'[15]Input Sheet'!Q244</f>
        <v>-7.0280255</v>
      </c>
      <c r="F952" s="911">
        <v>-8.9776749999999996</v>
      </c>
      <c r="G952" s="243"/>
      <c r="H952" s="243"/>
      <c r="I952" s="243"/>
      <c r="J952" s="243"/>
      <c r="K952" s="243"/>
      <c r="L952" s="243"/>
      <c r="M952" s="243"/>
    </row>
    <row r="953" spans="1:13" x14ac:dyDescent="0.2">
      <c r="A953" s="835">
        <v>24436</v>
      </c>
      <c r="B953" s="808" t="s">
        <v>1441</v>
      </c>
      <c r="C953" s="927"/>
      <c r="D953" s="1055">
        <f>'[15]Input Sheet'!Q245</f>
        <v>0</v>
      </c>
      <c r="F953" s="911">
        <v>0</v>
      </c>
      <c r="G953" s="243"/>
      <c r="H953" s="243"/>
      <c r="I953" s="243"/>
      <c r="J953" s="243"/>
      <c r="K953" s="243"/>
      <c r="L953" s="243"/>
      <c r="M953" s="243"/>
    </row>
    <row r="954" spans="1:13" x14ac:dyDescent="0.2">
      <c r="A954" s="835">
        <v>24437</v>
      </c>
      <c r="B954" s="808" t="s">
        <v>1442</v>
      </c>
      <c r="C954" s="927"/>
      <c r="D954" s="1055">
        <f>'[15]Input Sheet'!Q246</f>
        <v>0</v>
      </c>
      <c r="F954" s="911">
        <v>0</v>
      </c>
      <c r="G954" s="243"/>
      <c r="H954" s="243"/>
      <c r="I954" s="243"/>
      <c r="J954" s="243"/>
      <c r="K954" s="243"/>
      <c r="L954" s="243"/>
      <c r="M954" s="243"/>
    </row>
    <row r="955" spans="1:13" x14ac:dyDescent="0.2">
      <c r="A955" s="835">
        <v>24441</v>
      </c>
      <c r="B955" s="808" t="s">
        <v>1443</v>
      </c>
      <c r="C955" s="927"/>
      <c r="D955" s="1055">
        <f>'[15]Input Sheet'!Q248</f>
        <v>1.8479864559999999</v>
      </c>
      <c r="F955" s="911">
        <v>2.9751112530000001</v>
      </c>
      <c r="G955" s="243"/>
      <c r="H955" s="243"/>
      <c r="I955" s="243"/>
      <c r="J955" s="243"/>
      <c r="K955" s="243"/>
      <c r="L955" s="243"/>
      <c r="M955" s="243"/>
    </row>
    <row r="956" spans="1:13" x14ac:dyDescent="0.2">
      <c r="A956" s="835">
        <v>24442</v>
      </c>
      <c r="B956" s="808" t="s">
        <v>1444</v>
      </c>
      <c r="C956" s="927"/>
      <c r="D956" s="1055">
        <f>'[15]Input Sheet'!Q249</f>
        <v>-0.81001449999999997</v>
      </c>
      <c r="F956" s="911">
        <v>1.0538362400000001</v>
      </c>
      <c r="G956" s="243"/>
      <c r="H956" s="243"/>
      <c r="I956" s="243"/>
      <c r="J956" s="243"/>
      <c r="K956" s="243"/>
      <c r="L956" s="243"/>
      <c r="M956" s="243"/>
    </row>
    <row r="957" spans="1:13" x14ac:dyDescent="0.2">
      <c r="A957" s="835">
        <v>24446</v>
      </c>
      <c r="B957" s="808" t="s">
        <v>1445</v>
      </c>
      <c r="C957" s="927"/>
      <c r="D957" s="1055">
        <f>'[15]Input Sheet'!Q250</f>
        <v>0</v>
      </c>
      <c r="F957" s="911">
        <v>0</v>
      </c>
      <c r="G957" s="243"/>
      <c r="H957" s="243"/>
      <c r="I957" s="243"/>
      <c r="J957" s="243"/>
      <c r="K957" s="243"/>
      <c r="L957" s="243"/>
      <c r="M957" s="243"/>
    </row>
    <row r="958" spans="1:13" x14ac:dyDescent="0.2">
      <c r="A958" s="835">
        <v>24447</v>
      </c>
      <c r="B958" s="808" t="s">
        <v>1446</v>
      </c>
      <c r="C958" s="927"/>
      <c r="D958" s="1055">
        <f>'[15]Input Sheet'!Q251</f>
        <v>0</v>
      </c>
      <c r="F958" s="911">
        <v>0</v>
      </c>
      <c r="G958" s="243"/>
      <c r="H958" s="243"/>
      <c r="I958" s="243"/>
      <c r="J958" s="243"/>
      <c r="K958" s="243"/>
      <c r="L958" s="243"/>
      <c r="M958" s="243"/>
    </row>
    <row r="959" spans="1:13" x14ac:dyDescent="0.2">
      <c r="A959" s="835">
        <v>24448</v>
      </c>
      <c r="B959" s="808" t="s">
        <v>1447</v>
      </c>
      <c r="C959" s="927"/>
      <c r="D959" s="1055">
        <f>'[15]Input Sheet'!Q252</f>
        <v>5.7595250000000001E-2</v>
      </c>
      <c r="F959" s="911">
        <v>9.1116050000000004E-2</v>
      </c>
      <c r="G959" s="243"/>
      <c r="H959" s="243"/>
      <c r="I959" s="243"/>
      <c r="J959" s="243"/>
      <c r="K959" s="243"/>
      <c r="L959" s="243"/>
      <c r="M959" s="243"/>
    </row>
    <row r="960" spans="1:13" x14ac:dyDescent="0.2">
      <c r="A960" s="835">
        <v>24449</v>
      </c>
      <c r="B960" s="808" t="s">
        <v>1448</v>
      </c>
      <c r="C960" s="927"/>
      <c r="D960" s="1055">
        <f>'[15]Input Sheet'!Q253</f>
        <v>0</v>
      </c>
      <c r="F960" s="911">
        <v>-1.024E-4</v>
      </c>
      <c r="G960" s="243"/>
      <c r="H960" s="243"/>
      <c r="I960" s="243"/>
      <c r="J960" s="243"/>
      <c r="K960" s="243"/>
      <c r="L960" s="243"/>
      <c r="M960" s="243"/>
    </row>
    <row r="961" spans="1:13" x14ac:dyDescent="0.2">
      <c r="A961" s="835">
        <v>24451</v>
      </c>
      <c r="B961" s="808" t="s">
        <v>1449</v>
      </c>
      <c r="C961" s="927"/>
      <c r="D961" s="1055">
        <f>'[15]Input Sheet'!Q255</f>
        <v>0</v>
      </c>
      <c r="F961" s="911">
        <v>2.2371499999999998E-3</v>
      </c>
      <c r="G961" s="243"/>
      <c r="H961" s="243"/>
      <c r="I961" s="243"/>
      <c r="J961" s="243"/>
      <c r="K961" s="243"/>
      <c r="L961" s="243"/>
      <c r="M961" s="243"/>
    </row>
    <row r="962" spans="1:13" x14ac:dyDescent="0.2">
      <c r="A962" s="835">
        <v>24452</v>
      </c>
      <c r="B962" s="808" t="s">
        <v>1450</v>
      </c>
      <c r="C962" s="927"/>
      <c r="D962" s="1055">
        <f>'[15]Input Sheet'!Q256</f>
        <v>0</v>
      </c>
      <c r="F962" s="911">
        <v>0</v>
      </c>
      <c r="G962" s="243"/>
      <c r="H962" s="243"/>
      <c r="I962" s="243"/>
      <c r="J962" s="243"/>
      <c r="K962" s="243"/>
      <c r="L962" s="243"/>
      <c r="M962" s="243"/>
    </row>
    <row r="963" spans="1:13" x14ac:dyDescent="0.2">
      <c r="A963" s="835">
        <v>24456</v>
      </c>
      <c r="B963" s="808" t="s">
        <v>1451</v>
      </c>
      <c r="C963" s="927"/>
      <c r="D963" s="1055">
        <f>'[15]Input Sheet'!Q257</f>
        <v>0</v>
      </c>
      <c r="F963" s="911">
        <v>0</v>
      </c>
      <c r="G963" s="243"/>
      <c r="H963" s="243"/>
      <c r="I963" s="243"/>
      <c r="J963" s="243"/>
      <c r="K963" s="243"/>
      <c r="L963" s="243"/>
      <c r="M963" s="243"/>
    </row>
    <row r="964" spans="1:13" x14ac:dyDescent="0.2">
      <c r="A964" s="835">
        <v>24457</v>
      </c>
      <c r="B964" s="808" t="s">
        <v>1452</v>
      </c>
      <c r="C964" s="927"/>
      <c r="D964" s="1055">
        <f>'[15]Input Sheet'!Q258</f>
        <v>0</v>
      </c>
      <c r="F964" s="911">
        <v>0</v>
      </c>
      <c r="G964" s="243"/>
      <c r="H964" s="243"/>
      <c r="I964" s="243"/>
      <c r="J964" s="243"/>
      <c r="K964" s="243"/>
      <c r="L964" s="243"/>
      <c r="M964" s="243"/>
    </row>
    <row r="965" spans="1:13" x14ac:dyDescent="0.2">
      <c r="A965" s="835">
        <v>24458</v>
      </c>
      <c r="B965" s="808" t="s">
        <v>1453</v>
      </c>
      <c r="C965" s="927"/>
      <c r="D965" s="1055">
        <f>'[15]Input Sheet'!Q259</f>
        <v>0</v>
      </c>
      <c r="F965" s="911">
        <v>0</v>
      </c>
      <c r="G965" s="243"/>
      <c r="H965" s="243"/>
      <c r="I965" s="243"/>
      <c r="J965" s="243"/>
      <c r="K965" s="243"/>
      <c r="L965" s="243"/>
      <c r="M965" s="243"/>
    </row>
    <row r="966" spans="1:13" x14ac:dyDescent="0.2">
      <c r="A966" s="835">
        <v>24459</v>
      </c>
      <c r="B966" s="808" t="s">
        <v>1454</v>
      </c>
      <c r="C966" s="927"/>
      <c r="D966" s="1055">
        <f>'[15]Input Sheet'!Q260</f>
        <v>0</v>
      </c>
      <c r="F966" s="911">
        <v>0</v>
      </c>
      <c r="G966" s="243"/>
      <c r="H966" s="243"/>
      <c r="I966" s="243"/>
      <c r="J966" s="243"/>
      <c r="K966" s="243"/>
      <c r="L966" s="243"/>
      <c r="M966" s="243"/>
    </row>
    <row r="967" spans="1:13" x14ac:dyDescent="0.2">
      <c r="A967" s="835">
        <v>24461</v>
      </c>
      <c r="B967" s="808" t="s">
        <v>1455</v>
      </c>
      <c r="C967" s="927"/>
      <c r="D967" s="1055">
        <f>'[15]Input Sheet'!Q262</f>
        <v>2.653662894</v>
      </c>
      <c r="F967" s="911">
        <v>0.270957903</v>
      </c>
      <c r="G967" s="243"/>
      <c r="H967" s="243"/>
      <c r="I967" s="243"/>
      <c r="J967" s="243"/>
      <c r="K967" s="243"/>
      <c r="L967" s="243"/>
      <c r="M967" s="243"/>
    </row>
    <row r="968" spans="1:13" x14ac:dyDescent="0.2">
      <c r="A968" s="835">
        <v>24462</v>
      </c>
      <c r="B968" s="808" t="s">
        <v>1456</v>
      </c>
      <c r="C968" s="927"/>
      <c r="D968" s="1055">
        <f>'[15]Input Sheet'!Q263</f>
        <v>-2.479331728</v>
      </c>
      <c r="F968" s="911">
        <v>-0.207261428</v>
      </c>
      <c r="G968" s="243"/>
      <c r="H968" s="243"/>
      <c r="I968" s="243"/>
      <c r="J968" s="243"/>
      <c r="K968" s="243"/>
      <c r="L968" s="243"/>
      <c r="M968" s="243"/>
    </row>
    <row r="969" spans="1:13" x14ac:dyDescent="0.2">
      <c r="A969" s="835">
        <v>24466</v>
      </c>
      <c r="B969" s="808" t="s">
        <v>1457</v>
      </c>
      <c r="C969" s="927"/>
      <c r="D969" s="1055">
        <f>'[15]Input Sheet'!Q264</f>
        <v>0</v>
      </c>
      <c r="F969" s="911">
        <v>0</v>
      </c>
      <c r="G969" s="243"/>
      <c r="H969" s="243"/>
      <c r="I969" s="243"/>
      <c r="J969" s="243"/>
      <c r="K969" s="243"/>
      <c r="L969" s="243"/>
      <c r="M969" s="243"/>
    </row>
    <row r="970" spans="1:13" x14ac:dyDescent="0.2">
      <c r="A970" s="835">
        <v>24467</v>
      </c>
      <c r="B970" s="808" t="s">
        <v>1458</v>
      </c>
      <c r="C970" s="927"/>
      <c r="D970" s="1055">
        <f>'[15]Input Sheet'!Q265</f>
        <v>0</v>
      </c>
      <c r="F970" s="911">
        <v>0</v>
      </c>
      <c r="G970" s="243"/>
      <c r="H970" s="243"/>
      <c r="I970" s="243"/>
      <c r="J970" s="243"/>
      <c r="K970" s="243"/>
      <c r="L970" s="243"/>
      <c r="M970" s="243"/>
    </row>
    <row r="971" spans="1:13" x14ac:dyDescent="0.2">
      <c r="A971" s="835">
        <v>24468</v>
      </c>
      <c r="B971" s="808" t="s">
        <v>1459</v>
      </c>
      <c r="C971" s="927"/>
      <c r="D971" s="1055">
        <f>'[15]Input Sheet'!Q266</f>
        <v>0</v>
      </c>
      <c r="F971" s="911">
        <v>0</v>
      </c>
      <c r="G971" s="243"/>
      <c r="H971" s="243"/>
      <c r="I971" s="243"/>
      <c r="J971" s="243"/>
      <c r="K971" s="243"/>
      <c r="L971" s="243"/>
      <c r="M971" s="243"/>
    </row>
    <row r="972" spans="1:13" x14ac:dyDescent="0.2">
      <c r="A972" s="835">
        <v>24469</v>
      </c>
      <c r="B972" s="808" t="s">
        <v>1460</v>
      </c>
      <c r="C972" s="927"/>
      <c r="D972" s="1055">
        <f>'[15]Input Sheet'!Q267</f>
        <v>2.0536199999999999E-3</v>
      </c>
      <c r="F972" s="911">
        <v>2.6327999999999998E-3</v>
      </c>
      <c r="G972" s="243"/>
      <c r="H972" s="243"/>
      <c r="I972" s="243"/>
      <c r="J972" s="243"/>
      <c r="K972" s="243"/>
      <c r="L972" s="243"/>
      <c r="M972" s="243"/>
    </row>
    <row r="973" spans="1:13" x14ac:dyDescent="0.2">
      <c r="A973" s="835">
        <v>24471</v>
      </c>
      <c r="B973" s="808" t="s">
        <v>1461</v>
      </c>
      <c r="C973" s="927"/>
      <c r="D973" s="1055">
        <f>'[15]Input Sheet'!Q269</f>
        <v>1.7669275550000001</v>
      </c>
      <c r="F973" s="911">
        <v>2.7529640959999999</v>
      </c>
      <c r="G973" s="243"/>
      <c r="H973" s="243"/>
      <c r="I973" s="243"/>
      <c r="J973" s="243"/>
      <c r="K973" s="243"/>
      <c r="L973" s="243"/>
      <c r="M973" s="243"/>
    </row>
    <row r="974" spans="1:13" x14ac:dyDescent="0.2">
      <c r="A974" s="835">
        <v>24472</v>
      </c>
      <c r="B974" s="808" t="s">
        <v>1462</v>
      </c>
      <c r="C974" s="927"/>
      <c r="D974" s="1055">
        <f>'[15]Input Sheet'!Q270</f>
        <v>-0.93803700000000001</v>
      </c>
      <c r="F974" s="911">
        <v>-1.7516525000000001</v>
      </c>
      <c r="G974" s="243"/>
      <c r="H974" s="243"/>
      <c r="I974" s="243"/>
      <c r="J974" s="243"/>
      <c r="K974" s="243"/>
      <c r="L974" s="243"/>
      <c r="M974" s="243"/>
    </row>
    <row r="975" spans="1:13" x14ac:dyDescent="0.2">
      <c r="A975" s="835">
        <v>24476</v>
      </c>
      <c r="B975" s="808" t="s">
        <v>1463</v>
      </c>
      <c r="C975" s="927"/>
      <c r="D975" s="1055">
        <f>'[15]Input Sheet'!Q271</f>
        <v>0</v>
      </c>
      <c r="F975" s="911">
        <v>0</v>
      </c>
      <c r="G975" s="243"/>
      <c r="H975" s="243"/>
      <c r="I975" s="243"/>
      <c r="J975" s="243"/>
      <c r="K975" s="243"/>
      <c r="L975" s="243"/>
      <c r="M975" s="243"/>
    </row>
    <row r="976" spans="1:13" x14ac:dyDescent="0.2">
      <c r="A976" s="835">
        <v>24477</v>
      </c>
      <c r="B976" s="808" t="s">
        <v>1464</v>
      </c>
      <c r="C976" s="927"/>
      <c r="D976" s="1055">
        <f>'[15]Input Sheet'!Q272</f>
        <v>0</v>
      </c>
      <c r="F976" s="911">
        <v>0</v>
      </c>
      <c r="G976" s="243"/>
      <c r="H976" s="243"/>
      <c r="I976" s="243"/>
      <c r="J976" s="243"/>
      <c r="K976" s="243"/>
      <c r="L976" s="243"/>
      <c r="M976" s="243"/>
    </row>
    <row r="977" spans="1:13" x14ac:dyDescent="0.2">
      <c r="A977" s="835">
        <v>24481</v>
      </c>
      <c r="B977" s="808" t="s">
        <v>1465</v>
      </c>
      <c r="C977" s="927"/>
      <c r="D977" s="1055">
        <f>'[15]Input Sheet'!Q273</f>
        <v>3.1527632E-2</v>
      </c>
      <c r="F977" s="911">
        <v>1.0422452E-2</v>
      </c>
      <c r="G977" s="243"/>
      <c r="H977" s="243"/>
      <c r="I977" s="243"/>
      <c r="J977" s="243"/>
      <c r="K977" s="243"/>
      <c r="L977" s="243"/>
      <c r="M977" s="243"/>
    </row>
    <row r="978" spans="1:13" x14ac:dyDescent="0.2">
      <c r="A978" s="835">
        <v>24482</v>
      </c>
      <c r="B978" s="808" t="s">
        <v>1466</v>
      </c>
      <c r="C978" s="927"/>
      <c r="D978" s="1055">
        <f>'[15]Input Sheet'!Q274</f>
        <v>0</v>
      </c>
      <c r="F978" s="911">
        <v>0.2322748</v>
      </c>
      <c r="G978" s="243"/>
      <c r="H978" s="243"/>
      <c r="I978" s="243"/>
      <c r="J978" s="243"/>
      <c r="K978" s="243"/>
      <c r="L978" s="243"/>
      <c r="M978" s="243"/>
    </row>
    <row r="979" spans="1:13" x14ac:dyDescent="0.2">
      <c r="A979" s="835">
        <v>24486</v>
      </c>
      <c r="B979" s="808" t="s">
        <v>1467</v>
      </c>
      <c r="C979" s="927"/>
      <c r="D979" s="1055">
        <f>'[15]Input Sheet'!Q275</f>
        <v>1.152973E-2</v>
      </c>
      <c r="F979" s="911">
        <v>1.1362100000000001E-3</v>
      </c>
      <c r="G979" s="243"/>
      <c r="H979" s="243"/>
      <c r="I979" s="243"/>
      <c r="J979" s="243"/>
      <c r="K979" s="243"/>
      <c r="L979" s="243"/>
      <c r="M979" s="243"/>
    </row>
    <row r="980" spans="1:13" x14ac:dyDescent="0.2">
      <c r="A980" s="835">
        <v>24487</v>
      </c>
      <c r="B980" s="808" t="s">
        <v>1468</v>
      </c>
      <c r="C980" s="927"/>
      <c r="D980" s="1055">
        <f>'[15]Input Sheet'!Q276</f>
        <v>0</v>
      </c>
      <c r="F980" s="911">
        <v>0</v>
      </c>
      <c r="G980" s="243"/>
      <c r="H980" s="243"/>
      <c r="I980" s="243"/>
      <c r="J980" s="243"/>
      <c r="K980" s="243"/>
      <c r="L980" s="243"/>
      <c r="M980" s="243"/>
    </row>
    <row r="981" spans="1:13" x14ac:dyDescent="0.2">
      <c r="A981" s="835">
        <v>24491</v>
      </c>
      <c r="B981" s="808" t="s">
        <v>1469</v>
      </c>
      <c r="C981" s="927"/>
      <c r="D981" s="1055">
        <f>'[15]Input Sheet'!Q278</f>
        <v>0</v>
      </c>
      <c r="F981" s="911">
        <v>0</v>
      </c>
      <c r="G981" s="243"/>
      <c r="H981" s="243"/>
      <c r="I981" s="243"/>
      <c r="J981" s="243"/>
      <c r="K981" s="243"/>
      <c r="L981" s="243"/>
      <c r="M981" s="243"/>
    </row>
    <row r="982" spans="1:13" x14ac:dyDescent="0.2">
      <c r="A982" s="835">
        <v>24492</v>
      </c>
      <c r="B982" s="808" t="s">
        <v>1470</v>
      </c>
      <c r="C982" s="927"/>
      <c r="D982" s="1055">
        <f>'[15]Input Sheet'!Q279</f>
        <v>0</v>
      </c>
      <c r="F982" s="911">
        <v>0</v>
      </c>
      <c r="G982" s="243"/>
      <c r="H982" s="243"/>
      <c r="I982" s="243"/>
      <c r="J982" s="243"/>
      <c r="K982" s="243"/>
      <c r="L982" s="243"/>
      <c r="M982" s="243"/>
    </row>
    <row r="983" spans="1:13" x14ac:dyDescent="0.2">
      <c r="A983" s="835">
        <v>24493</v>
      </c>
      <c r="B983" s="808" t="str">
        <f>'[15]Input Sheet'!E280</f>
        <v>Main-BOI2C-0573-KDTPS</v>
      </c>
      <c r="C983" s="927"/>
      <c r="D983" s="1055">
        <f>'[15]Input Sheet'!Q280</f>
        <v>1.415722938</v>
      </c>
      <c r="F983" s="911">
        <v>1.0452893109999999</v>
      </c>
      <c r="G983" s="243"/>
      <c r="H983" s="243"/>
      <c r="I983" s="243"/>
      <c r="J983" s="243"/>
      <c r="K983" s="243"/>
      <c r="L983" s="243"/>
      <c r="M983" s="243"/>
    </row>
    <row r="984" spans="1:13" x14ac:dyDescent="0.2">
      <c r="A984" s="835">
        <v>24494</v>
      </c>
      <c r="B984" s="808" t="s">
        <v>1471</v>
      </c>
      <c r="C984" s="927"/>
      <c r="D984" s="927">
        <f>'[15]Input Sheet'!Q281</f>
        <v>-0.59972289999999995</v>
      </c>
      <c r="F984" s="911">
        <v>-3.2212699999999997E-2</v>
      </c>
      <c r="G984" s="243"/>
      <c r="H984" s="243"/>
      <c r="I984" s="243"/>
      <c r="J984" s="243"/>
      <c r="K984" s="243"/>
      <c r="L984" s="243"/>
      <c r="M984" s="243"/>
    </row>
    <row r="985" spans="1:13" x14ac:dyDescent="0.2">
      <c r="A985" s="835">
        <v>24496</v>
      </c>
      <c r="B985" s="808" t="s">
        <v>1472</v>
      </c>
      <c r="C985" s="927"/>
      <c r="D985" s="1055">
        <f>'[15]Input Sheet'!Q282</f>
        <v>0</v>
      </c>
      <c r="F985" s="911">
        <v>0</v>
      </c>
      <c r="G985" s="243"/>
      <c r="H985" s="243"/>
      <c r="I985" s="243"/>
      <c r="J985" s="243"/>
      <c r="K985" s="243"/>
      <c r="L985" s="243"/>
      <c r="M985" s="243"/>
    </row>
    <row r="986" spans="1:13" x14ac:dyDescent="0.2">
      <c r="A986" s="835">
        <v>24497</v>
      </c>
      <c r="B986" s="808" t="s">
        <v>1473</v>
      </c>
      <c r="C986" s="927"/>
      <c r="D986" s="1055">
        <f>'[15]Input Sheet'!Q283</f>
        <v>0</v>
      </c>
      <c r="F986" s="911">
        <v>0</v>
      </c>
      <c r="G986" s="243"/>
      <c r="H986" s="243"/>
      <c r="I986" s="243"/>
      <c r="J986" s="243"/>
      <c r="K986" s="243"/>
      <c r="L986" s="243"/>
      <c r="M986" s="243"/>
    </row>
    <row r="987" spans="1:13" x14ac:dyDescent="0.2">
      <c r="A987" s="835">
        <v>24498</v>
      </c>
      <c r="B987" s="808" t="s">
        <v>1474</v>
      </c>
      <c r="C987" s="927"/>
      <c r="D987" s="1055">
        <f>'[15]Input Sheet'!Q284</f>
        <v>0</v>
      </c>
      <c r="F987" s="911">
        <v>0</v>
      </c>
      <c r="G987" s="243"/>
      <c r="H987" s="243"/>
      <c r="I987" s="243"/>
      <c r="J987" s="243"/>
      <c r="K987" s="243"/>
      <c r="L987" s="243"/>
      <c r="M987" s="243"/>
    </row>
    <row r="988" spans="1:13" x14ac:dyDescent="0.2">
      <c r="A988" s="835">
        <v>24499</v>
      </c>
      <c r="B988" s="808" t="s">
        <v>1475</v>
      </c>
      <c r="C988" s="927"/>
      <c r="D988" s="1055">
        <f>'[15]Input Sheet'!Q285</f>
        <v>0</v>
      </c>
      <c r="F988" s="911">
        <v>0</v>
      </c>
      <c r="G988" s="243"/>
      <c r="H988" s="243"/>
      <c r="I988" s="243"/>
      <c r="J988" s="243"/>
      <c r="K988" s="243"/>
      <c r="L988" s="243"/>
      <c r="M988" s="243"/>
    </row>
    <row r="989" spans="1:13" x14ac:dyDescent="0.2">
      <c r="A989" s="835">
        <v>24501</v>
      </c>
      <c r="B989" s="808" t="s">
        <v>1476</v>
      </c>
      <c r="C989" s="927"/>
      <c r="D989" s="1055">
        <f>'[15]Input Sheet'!Q287</f>
        <v>0</v>
      </c>
      <c r="F989" s="911">
        <v>0</v>
      </c>
      <c r="G989" s="243"/>
      <c r="H989" s="243"/>
      <c r="I989" s="243"/>
      <c r="J989" s="243"/>
      <c r="K989" s="243"/>
      <c r="L989" s="243"/>
      <c r="M989" s="243"/>
    </row>
    <row r="990" spans="1:13" x14ac:dyDescent="0.2">
      <c r="A990" s="835">
        <v>24502</v>
      </c>
      <c r="B990" s="808" t="s">
        <v>1477</v>
      </c>
      <c r="C990" s="927"/>
      <c r="D990" s="1055">
        <f>'[15]Input Sheet'!Q288</f>
        <v>0</v>
      </c>
      <c r="F990" s="911">
        <v>0</v>
      </c>
      <c r="G990" s="243"/>
      <c r="H990" s="243"/>
      <c r="I990" s="243"/>
      <c r="J990" s="243"/>
      <c r="K990" s="243"/>
      <c r="L990" s="243"/>
      <c r="M990" s="243"/>
    </row>
    <row r="991" spans="1:13" x14ac:dyDescent="0.2">
      <c r="A991" s="835">
        <v>24506</v>
      </c>
      <c r="B991" s="808" t="s">
        <v>1478</v>
      </c>
      <c r="C991" s="927"/>
      <c r="D991" s="1055">
        <f>'[15]Input Sheet'!Q289</f>
        <v>0</v>
      </c>
      <c r="F991" s="911">
        <v>0</v>
      </c>
      <c r="G991" s="243"/>
      <c r="H991" s="243"/>
      <c r="I991" s="243"/>
      <c r="J991" s="243"/>
      <c r="K991" s="243"/>
      <c r="L991" s="243"/>
      <c r="M991" s="243"/>
    </row>
    <row r="992" spans="1:13" x14ac:dyDescent="0.2">
      <c r="A992" s="835">
        <v>24507</v>
      </c>
      <c r="B992" s="808" t="s">
        <v>1479</v>
      </c>
      <c r="C992" s="927"/>
      <c r="D992" s="1055">
        <f>'[15]Input Sheet'!Q290</f>
        <v>0</v>
      </c>
      <c r="F992" s="911">
        <v>0</v>
      </c>
      <c r="G992" s="243"/>
      <c r="H992" s="243"/>
      <c r="I992" s="243"/>
      <c r="J992" s="243"/>
      <c r="K992" s="243"/>
      <c r="L992" s="243"/>
      <c r="M992" s="243"/>
    </row>
    <row r="993" spans="1:13" x14ac:dyDescent="0.2">
      <c r="A993" s="835">
        <v>24511</v>
      </c>
      <c r="B993" s="808" t="s">
        <v>1480</v>
      </c>
      <c r="C993" s="927"/>
      <c r="D993" s="1055">
        <f>'[15]Input Sheet'!Q291</f>
        <v>0.10087280999999999</v>
      </c>
      <c r="F993" s="911">
        <v>0.31083291000000002</v>
      </c>
      <c r="G993" s="243"/>
      <c r="H993" s="243"/>
      <c r="I993" s="243"/>
      <c r="J993" s="243"/>
      <c r="K993" s="243"/>
      <c r="L993" s="243"/>
      <c r="M993" s="243"/>
    </row>
    <row r="994" spans="1:13" x14ac:dyDescent="0.2">
      <c r="A994" s="835">
        <v>24512</v>
      </c>
      <c r="B994" s="808" t="s">
        <v>1481</v>
      </c>
      <c r="C994" s="927"/>
      <c r="D994" s="1055">
        <f>'[15]Input Sheet'!Q292</f>
        <v>-8.9879999999999995E-4</v>
      </c>
      <c r="F994" s="911">
        <v>-7.5143399999999999E-2</v>
      </c>
      <c r="G994" s="243"/>
      <c r="H994" s="243"/>
      <c r="I994" s="243"/>
      <c r="J994" s="243"/>
      <c r="K994" s="243"/>
      <c r="L994" s="243"/>
      <c r="M994" s="243"/>
    </row>
    <row r="995" spans="1:13" x14ac:dyDescent="0.2">
      <c r="A995" s="835">
        <v>24516</v>
      </c>
      <c r="B995" s="808" t="s">
        <v>1482</v>
      </c>
      <c r="C995" s="927"/>
      <c r="D995" s="1055">
        <f>'[15]Input Sheet'!Q293</f>
        <v>0</v>
      </c>
      <c r="F995" s="911">
        <v>0</v>
      </c>
      <c r="G995" s="243"/>
      <c r="H995" s="243"/>
      <c r="I995" s="243"/>
      <c r="J995" s="243"/>
      <c r="K995" s="243"/>
      <c r="L995" s="243"/>
      <c r="M995" s="243"/>
    </row>
    <row r="996" spans="1:13" x14ac:dyDescent="0.2">
      <c r="A996" s="835">
        <v>24517</v>
      </c>
      <c r="B996" s="808" t="s">
        <v>1483</v>
      </c>
      <c r="C996" s="927"/>
      <c r="D996" s="1055">
        <f>'[15]Input Sheet'!Q294</f>
        <v>0</v>
      </c>
      <c r="F996" s="911">
        <v>0</v>
      </c>
      <c r="G996" s="243"/>
      <c r="H996" s="243"/>
      <c r="I996" s="243"/>
      <c r="J996" s="243"/>
      <c r="K996" s="243"/>
      <c r="L996" s="243"/>
      <c r="M996" s="243"/>
    </row>
    <row r="997" spans="1:13" x14ac:dyDescent="0.2">
      <c r="A997" s="835">
        <v>24518</v>
      </c>
      <c r="B997" s="808" t="s">
        <v>1484</v>
      </c>
      <c r="C997" s="927"/>
      <c r="D997" s="1055">
        <f>'[15]Input Sheet'!Q295</f>
        <v>0</v>
      </c>
      <c r="F997" s="911">
        <v>0</v>
      </c>
      <c r="G997" s="243"/>
      <c r="H997" s="243"/>
      <c r="I997" s="243"/>
      <c r="J997" s="243"/>
      <c r="K997" s="243"/>
      <c r="L997" s="243"/>
      <c r="M997" s="243"/>
    </row>
    <row r="998" spans="1:13" x14ac:dyDescent="0.2">
      <c r="A998" s="835">
        <v>24519</v>
      </c>
      <c r="B998" s="808" t="s">
        <v>1485</v>
      </c>
      <c r="C998" s="927"/>
      <c r="D998" s="1055">
        <f>'[15]Input Sheet'!Q296</f>
        <v>0</v>
      </c>
      <c r="F998" s="911">
        <v>0</v>
      </c>
      <c r="G998" s="243"/>
      <c r="H998" s="243"/>
      <c r="I998" s="243"/>
      <c r="J998" s="243"/>
      <c r="K998" s="243"/>
      <c r="L998" s="243"/>
      <c r="M998" s="243"/>
    </row>
    <row r="999" spans="1:13" x14ac:dyDescent="0.2">
      <c r="A999" s="835">
        <v>24521</v>
      </c>
      <c r="B999" s="808" t="s">
        <v>1486</v>
      </c>
      <c r="C999" s="927"/>
      <c r="D999" s="1055">
        <f>'[15]Input Sheet'!Q298</f>
        <v>0</v>
      </c>
      <c r="F999" s="911">
        <v>0</v>
      </c>
      <c r="G999" s="243"/>
      <c r="H999" s="243"/>
      <c r="I999" s="243"/>
      <c r="J999" s="243"/>
      <c r="K999" s="243"/>
      <c r="L999" s="243"/>
      <c r="M999" s="243"/>
    </row>
    <row r="1000" spans="1:13" x14ac:dyDescent="0.2">
      <c r="A1000" s="835">
        <v>24522</v>
      </c>
      <c r="B1000" s="808" t="s">
        <v>1487</v>
      </c>
      <c r="C1000" s="927"/>
      <c r="D1000" s="1055">
        <f>'[15]Input Sheet'!Q299</f>
        <v>0</v>
      </c>
      <c r="F1000" s="911">
        <v>0</v>
      </c>
      <c r="G1000" s="243"/>
      <c r="H1000" s="243"/>
      <c r="I1000" s="243"/>
      <c r="J1000" s="243"/>
      <c r="K1000" s="243"/>
      <c r="L1000" s="243"/>
      <c r="M1000" s="243"/>
    </row>
    <row r="1001" spans="1:13" x14ac:dyDescent="0.2">
      <c r="A1001" s="835">
        <v>24523</v>
      </c>
      <c r="B1001" s="808" t="s">
        <v>1488</v>
      </c>
      <c r="C1001" s="927"/>
      <c r="D1001" s="1055">
        <f>'[15]Input Sheet'!Q300</f>
        <v>0.15905152</v>
      </c>
      <c r="F1001" s="911">
        <v>0.23303772000000003</v>
      </c>
      <c r="G1001" s="243"/>
      <c r="H1001" s="243"/>
      <c r="I1001" s="243"/>
      <c r="J1001" s="243"/>
      <c r="K1001" s="243"/>
      <c r="L1001" s="243"/>
      <c r="M1001" s="243"/>
    </row>
    <row r="1002" spans="1:13" x14ac:dyDescent="0.2">
      <c r="A1002" s="835">
        <v>24524</v>
      </c>
      <c r="B1002" s="808" t="s">
        <v>1489</v>
      </c>
      <c r="C1002" s="927"/>
      <c r="D1002" s="1055">
        <f>'[15]Input Sheet'!Q301</f>
        <v>-5.6398299999999998E-2</v>
      </c>
      <c r="F1002" s="911">
        <v>-0.14781820000000001</v>
      </c>
      <c r="G1002" s="243"/>
      <c r="H1002" s="243"/>
      <c r="I1002" s="243"/>
      <c r="J1002" s="243"/>
      <c r="K1002" s="243"/>
      <c r="L1002" s="243"/>
      <c r="M1002" s="243"/>
    </row>
    <row r="1003" spans="1:13" x14ac:dyDescent="0.2">
      <c r="A1003" s="835">
        <v>24531</v>
      </c>
      <c r="B1003" s="808" t="s">
        <v>1490</v>
      </c>
      <c r="C1003" s="927"/>
      <c r="D1003" s="1055">
        <f>'[15]Input Sheet'!Q302</f>
        <v>1.7892014000000001E-2</v>
      </c>
      <c r="F1003" s="911">
        <v>1.7892014000000001E-2</v>
      </c>
      <c r="G1003" s="243"/>
      <c r="H1003" s="243"/>
      <c r="I1003" s="243"/>
      <c r="J1003" s="243"/>
      <c r="K1003" s="243"/>
      <c r="L1003" s="243"/>
      <c r="M1003" s="243"/>
    </row>
    <row r="1004" spans="1:13" x14ac:dyDescent="0.2">
      <c r="A1004" s="835">
        <v>24532</v>
      </c>
      <c r="B1004" s="808" t="s">
        <v>1491</v>
      </c>
      <c r="C1004" s="927"/>
      <c r="D1004" s="1055">
        <f>'[15]Input Sheet'!Q303</f>
        <v>-1.7892114000000001E-2</v>
      </c>
      <c r="F1004" s="911">
        <v>-1.7892114000000001E-2</v>
      </c>
      <c r="G1004" s="243"/>
      <c r="H1004" s="243"/>
      <c r="I1004" s="243"/>
      <c r="J1004" s="243"/>
      <c r="K1004" s="243"/>
      <c r="L1004" s="243"/>
      <c r="M1004" s="243"/>
    </row>
    <row r="1005" spans="1:13" x14ac:dyDescent="0.2">
      <c r="A1005" s="835">
        <v>24536</v>
      </c>
      <c r="B1005" s="808" t="s">
        <v>1492</v>
      </c>
      <c r="C1005" s="927"/>
      <c r="D1005" s="1055">
        <f>'[15]Input Sheet'!Q304</f>
        <v>0</v>
      </c>
      <c r="F1005" s="911">
        <v>0</v>
      </c>
      <c r="G1005" s="243"/>
      <c r="H1005" s="243"/>
      <c r="I1005" s="243"/>
      <c r="J1005" s="243"/>
      <c r="K1005" s="243"/>
      <c r="L1005" s="243"/>
      <c r="M1005" s="243"/>
    </row>
    <row r="1006" spans="1:13" x14ac:dyDescent="0.2">
      <c r="A1006" s="835">
        <v>24537</v>
      </c>
      <c r="B1006" s="808" t="s">
        <v>1493</v>
      </c>
      <c r="C1006" s="927"/>
      <c r="D1006" s="1055">
        <f>'[15]Input Sheet'!Q305</f>
        <v>0</v>
      </c>
      <c r="F1006" s="911">
        <v>0</v>
      </c>
      <c r="G1006" s="243"/>
      <c r="H1006" s="243"/>
      <c r="I1006" s="243"/>
      <c r="J1006" s="243"/>
      <c r="K1006" s="243"/>
      <c r="L1006" s="243"/>
      <c r="M1006" s="243"/>
    </row>
    <row r="1007" spans="1:13" x14ac:dyDescent="0.2">
      <c r="A1007" s="835">
        <v>24541</v>
      </c>
      <c r="B1007" s="808" t="s">
        <v>1494</v>
      </c>
      <c r="C1007" s="927"/>
      <c r="D1007" s="1055">
        <f>'[15]Input Sheet'!Q306</f>
        <v>0</v>
      </c>
      <c r="F1007" s="911">
        <v>0</v>
      </c>
      <c r="G1007" s="243"/>
      <c r="H1007" s="243"/>
      <c r="I1007" s="243"/>
      <c r="J1007" s="243"/>
      <c r="K1007" s="243"/>
      <c r="L1007" s="243"/>
      <c r="M1007" s="243"/>
    </row>
    <row r="1008" spans="1:13" x14ac:dyDescent="0.2">
      <c r="A1008" s="835">
        <v>24542</v>
      </c>
      <c r="B1008" s="808" t="s">
        <v>1495</v>
      </c>
      <c r="C1008" s="927"/>
      <c r="D1008" s="1055">
        <f>'[15]Input Sheet'!Q307</f>
        <v>0</v>
      </c>
      <c r="F1008" s="911">
        <v>0</v>
      </c>
      <c r="G1008" s="243"/>
      <c r="H1008" s="243"/>
      <c r="I1008" s="243"/>
      <c r="J1008" s="243"/>
      <c r="K1008" s="243"/>
      <c r="L1008" s="243"/>
      <c r="M1008" s="243"/>
    </row>
    <row r="1009" spans="1:13" x14ac:dyDescent="0.2">
      <c r="A1009" s="835">
        <v>24546</v>
      </c>
      <c r="B1009" s="808" t="s">
        <v>1496</v>
      </c>
      <c r="C1009" s="927"/>
      <c r="D1009" s="1055">
        <f>'[15]Input Sheet'!Q308</f>
        <v>0</v>
      </c>
      <c r="F1009" s="911">
        <v>0</v>
      </c>
      <c r="G1009" s="243"/>
      <c r="H1009" s="243"/>
      <c r="I1009" s="243"/>
      <c r="J1009" s="243"/>
      <c r="K1009" s="243"/>
      <c r="L1009" s="243"/>
      <c r="M1009" s="243"/>
    </row>
    <row r="1010" spans="1:13" x14ac:dyDescent="0.2">
      <c r="A1010" s="835">
        <v>24547</v>
      </c>
      <c r="B1010" s="808" t="s">
        <v>1497</v>
      </c>
      <c r="C1010" s="927"/>
      <c r="D1010" s="1055">
        <f>'[15]Input Sheet'!Q309</f>
        <v>0</v>
      </c>
      <c r="F1010" s="911">
        <v>0</v>
      </c>
      <c r="G1010" s="243"/>
      <c r="H1010" s="243"/>
      <c r="I1010" s="243"/>
      <c r="J1010" s="243"/>
      <c r="K1010" s="243"/>
      <c r="L1010" s="243"/>
      <c r="M1010" s="243"/>
    </row>
    <row r="1011" spans="1:13" x14ac:dyDescent="0.2">
      <c r="A1011" s="835">
        <v>24551</v>
      </c>
      <c r="B1011" s="808" t="s">
        <v>1498</v>
      </c>
      <c r="C1011" s="927"/>
      <c r="D1011" s="1055">
        <f>'[15]Input Sheet'!Q310</f>
        <v>0</v>
      </c>
      <c r="F1011" s="911">
        <v>0</v>
      </c>
      <c r="G1011" s="243"/>
      <c r="H1011" s="243"/>
      <c r="I1011" s="243"/>
      <c r="J1011" s="243"/>
      <c r="K1011" s="243"/>
      <c r="L1011" s="243"/>
      <c r="M1011" s="243"/>
    </row>
    <row r="1012" spans="1:13" ht="12" customHeight="1" x14ac:dyDescent="0.2">
      <c r="A1012" s="835">
        <v>24552</v>
      </c>
      <c r="B1012" s="808" t="s">
        <v>1499</v>
      </c>
      <c r="C1012" s="927"/>
      <c r="D1012" s="1055">
        <f>'[15]Input Sheet'!Q311</f>
        <v>0</v>
      </c>
      <c r="F1012" s="911">
        <v>0</v>
      </c>
      <c r="G1012" s="243"/>
      <c r="H1012" s="243"/>
      <c r="I1012" s="243"/>
      <c r="J1012" s="243"/>
      <c r="K1012" s="243"/>
      <c r="L1012" s="243"/>
      <c r="M1012" s="243"/>
    </row>
    <row r="1013" spans="1:13" ht="12" customHeight="1" x14ac:dyDescent="0.2">
      <c r="A1013" s="835">
        <v>24561</v>
      </c>
      <c r="B1013" s="808" t="s">
        <v>1500</v>
      </c>
      <c r="C1013" s="927"/>
      <c r="D1013" s="1055">
        <f>'[15]Input Sheet'!Q312</f>
        <v>1.410177408</v>
      </c>
      <c r="F1013" s="911">
        <v>0.66956018699999997</v>
      </c>
      <c r="G1013" s="243"/>
      <c r="H1013" s="243"/>
      <c r="I1013" s="243"/>
      <c r="J1013" s="243"/>
      <c r="K1013" s="243"/>
      <c r="L1013" s="243"/>
      <c r="M1013" s="243"/>
    </row>
    <row r="1014" spans="1:13" ht="12" customHeight="1" x14ac:dyDescent="0.2">
      <c r="A1014" s="835">
        <v>24562</v>
      </c>
      <c r="B1014" s="808" t="s">
        <v>1501</v>
      </c>
      <c r="C1014" s="927"/>
      <c r="D1014" s="1055">
        <f>'[15]Input Sheet'!Q313</f>
        <v>-2.284E-3</v>
      </c>
      <c r="F1014" s="911">
        <v>-7.7999999999999999E-4</v>
      </c>
      <c r="G1014" s="243"/>
      <c r="H1014" s="243"/>
      <c r="I1014" s="243"/>
      <c r="J1014" s="243"/>
      <c r="K1014" s="243"/>
      <c r="L1014" s="243"/>
      <c r="M1014" s="243"/>
    </row>
    <row r="1015" spans="1:13" ht="12" customHeight="1" x14ac:dyDescent="0.2">
      <c r="A1015" s="835">
        <v>24563</v>
      </c>
      <c r="B1015" s="808" t="s">
        <v>1502</v>
      </c>
      <c r="C1015" s="927"/>
      <c r="D1015" s="1055">
        <f>'[15]Input Sheet'!Q314</f>
        <v>0.97394672599999998</v>
      </c>
      <c r="F1015" s="911">
        <v>1.0340863060000001</v>
      </c>
      <c r="G1015" s="243"/>
      <c r="H1015" s="243"/>
      <c r="I1015" s="243"/>
      <c r="J1015" s="243"/>
      <c r="K1015" s="243"/>
      <c r="L1015" s="243"/>
      <c r="M1015" s="243"/>
    </row>
    <row r="1016" spans="1:13" ht="12" customHeight="1" x14ac:dyDescent="0.2">
      <c r="A1016" s="835">
        <v>24564</v>
      </c>
      <c r="B1016" s="808" t="s">
        <v>1503</v>
      </c>
      <c r="C1016" s="927"/>
      <c r="D1016" s="1055">
        <f>'[15]Input Sheet'!Q315</f>
        <v>-4.09244E-2</v>
      </c>
      <c r="F1016" s="911">
        <v>-0.9788734</v>
      </c>
      <c r="G1016" s="243"/>
      <c r="H1016" s="243"/>
      <c r="I1016" s="243"/>
      <c r="J1016" s="243"/>
      <c r="K1016" s="243"/>
      <c r="L1016" s="243"/>
      <c r="M1016" s="243"/>
    </row>
    <row r="1017" spans="1:13" x14ac:dyDescent="0.2">
      <c r="A1017" s="835">
        <v>24601</v>
      </c>
      <c r="B1017" s="808" t="s">
        <v>1504</v>
      </c>
      <c r="C1017" s="927"/>
      <c r="D1017" s="1055">
        <f>'[15]Input Sheet'!Q317</f>
        <v>11.4538449</v>
      </c>
      <c r="F1017" s="911">
        <v>7.7887700000000004E-2</v>
      </c>
      <c r="G1017" s="243"/>
      <c r="H1017" s="243"/>
      <c r="I1017" s="243"/>
      <c r="J1017" s="243"/>
      <c r="K1017" s="243"/>
      <c r="L1017" s="243"/>
      <c r="M1017" s="243"/>
    </row>
    <row r="1018" spans="1:13" x14ac:dyDescent="0.2">
      <c r="A1018" s="835">
        <v>24602</v>
      </c>
      <c r="B1018" s="808" t="s">
        <v>1505</v>
      </c>
      <c r="C1018" s="927"/>
      <c r="D1018" s="1055">
        <f>'[15]Input Sheet'!Q318</f>
        <v>-11.443501353</v>
      </c>
      <c r="F1018" s="911">
        <v>-1.9598399999999998E-2</v>
      </c>
      <c r="G1018" s="243"/>
      <c r="H1018" s="243"/>
      <c r="I1018" s="243"/>
      <c r="J1018" s="243"/>
      <c r="K1018" s="243"/>
      <c r="L1018" s="243"/>
      <c r="M1018" s="243"/>
    </row>
    <row r="1019" spans="1:13" x14ac:dyDescent="0.2">
      <c r="A1019" s="835">
        <v>24603</v>
      </c>
      <c r="B1019" s="808" t="s">
        <v>1506</v>
      </c>
      <c r="C1019" s="927"/>
      <c r="D1019" s="1059">
        <f>'[15]Input Sheet'!Q319</f>
        <v>0</v>
      </c>
      <c r="F1019" s="911">
        <v>1.5000770000000001E-3</v>
      </c>
      <c r="G1019" s="243"/>
      <c r="H1019" s="243"/>
      <c r="I1019" s="243"/>
      <c r="J1019" s="243"/>
      <c r="K1019" s="243"/>
      <c r="L1019" s="243"/>
      <c r="M1019" s="243"/>
    </row>
    <row r="1020" spans="1:13" x14ac:dyDescent="0.2">
      <c r="A1020" s="835">
        <v>24604</v>
      </c>
      <c r="B1020" s="808" t="s">
        <v>1507</v>
      </c>
      <c r="C1020" s="927"/>
      <c r="D1020" s="1055">
        <f>'[15]Input Sheet'!Q320</f>
        <v>0</v>
      </c>
      <c r="F1020" s="911">
        <v>0</v>
      </c>
      <c r="G1020" s="243"/>
      <c r="H1020" s="243"/>
      <c r="I1020" s="243"/>
      <c r="J1020" s="243"/>
      <c r="K1020" s="243"/>
      <c r="L1020" s="243"/>
      <c r="M1020" s="243"/>
    </row>
    <row r="1021" spans="1:13" x14ac:dyDescent="0.2">
      <c r="A1021" s="835">
        <v>24606</v>
      </c>
      <c r="B1021" s="808" t="s">
        <v>1508</v>
      </c>
      <c r="C1021" s="927"/>
      <c r="D1021" s="1055">
        <f>'[15]Input Sheet'!Q321</f>
        <v>0</v>
      </c>
      <c r="F1021" s="911">
        <v>0</v>
      </c>
      <c r="G1021" s="243"/>
      <c r="H1021" s="243"/>
      <c r="I1021" s="243"/>
      <c r="J1021" s="243"/>
      <c r="K1021" s="243"/>
      <c r="L1021" s="243"/>
      <c r="M1021" s="243"/>
    </row>
    <row r="1022" spans="1:13" x14ac:dyDescent="0.2">
      <c r="A1022" s="835">
        <v>24607</v>
      </c>
      <c r="B1022" s="808" t="s">
        <v>1509</v>
      </c>
      <c r="C1022" s="927"/>
      <c r="D1022" s="1055">
        <f>'[15]Input Sheet'!Q322</f>
        <v>0</v>
      </c>
      <c r="F1022" s="911">
        <v>0</v>
      </c>
      <c r="G1022" s="243"/>
      <c r="H1022" s="243"/>
      <c r="I1022" s="243"/>
      <c r="J1022" s="243"/>
      <c r="K1022" s="243"/>
      <c r="L1022" s="243"/>
      <c r="M1022" s="243"/>
    </row>
    <row r="1023" spans="1:13" x14ac:dyDescent="0.2">
      <c r="A1023" s="835">
        <v>24611</v>
      </c>
      <c r="B1023" s="808" t="s">
        <v>1510</v>
      </c>
      <c r="C1023" s="927"/>
      <c r="D1023" s="1055">
        <f>'[15]Input Sheet'!Q324</f>
        <v>3.5299000000000002E-5</v>
      </c>
      <c r="F1023" s="911">
        <v>3.5299000000000002E-5</v>
      </c>
      <c r="G1023" s="243"/>
      <c r="H1023" s="243"/>
      <c r="I1023" s="243"/>
      <c r="J1023" s="243"/>
      <c r="K1023" s="243"/>
      <c r="L1023" s="243"/>
      <c r="M1023" s="243"/>
    </row>
    <row r="1024" spans="1:13" x14ac:dyDescent="0.2">
      <c r="A1024" s="835">
        <v>24612</v>
      </c>
      <c r="B1024" s="808" t="s">
        <v>1511</v>
      </c>
      <c r="C1024" s="927"/>
      <c r="D1024" s="1055">
        <f>'[15]Input Sheet'!Q325</f>
        <v>-3.54E-5</v>
      </c>
      <c r="F1024" s="911">
        <v>0</v>
      </c>
      <c r="G1024" s="243"/>
      <c r="H1024" s="243"/>
      <c r="I1024" s="243"/>
      <c r="J1024" s="243"/>
      <c r="K1024" s="243"/>
      <c r="L1024" s="243"/>
      <c r="M1024" s="243"/>
    </row>
    <row r="1025" spans="1:13" x14ac:dyDescent="0.2">
      <c r="A1025" s="835">
        <v>24616</v>
      </c>
      <c r="B1025" s="808" t="s">
        <v>1512</v>
      </c>
      <c r="C1025" s="927"/>
      <c r="D1025" s="1055">
        <f>'[15]Input Sheet'!Q326</f>
        <v>4.6789999999999999E-4</v>
      </c>
      <c r="F1025" s="911">
        <v>4.6789999999999999E-4</v>
      </c>
      <c r="G1025" s="243"/>
      <c r="H1025" s="243"/>
      <c r="I1025" s="243"/>
      <c r="J1025" s="243"/>
      <c r="K1025" s="243"/>
      <c r="L1025" s="243"/>
      <c r="M1025" s="243"/>
    </row>
    <row r="1026" spans="1:13" x14ac:dyDescent="0.2">
      <c r="A1026" s="835">
        <v>24617</v>
      </c>
      <c r="B1026" s="808" t="s">
        <v>1513</v>
      </c>
      <c r="C1026" s="927"/>
      <c r="D1026" s="1055">
        <f>'[15]Input Sheet'!Q327</f>
        <v>-4.6789999999999999E-4</v>
      </c>
      <c r="F1026" s="911">
        <v>-4.6789999999999999E-4</v>
      </c>
      <c r="G1026" s="243"/>
      <c r="H1026" s="243"/>
      <c r="I1026" s="243"/>
      <c r="J1026" s="243"/>
      <c r="K1026" s="243"/>
      <c r="L1026" s="243"/>
      <c r="M1026" s="243"/>
    </row>
    <row r="1027" spans="1:13" x14ac:dyDescent="0.2">
      <c r="A1027" s="835">
        <v>24621</v>
      </c>
      <c r="B1027" s="808" t="s">
        <v>1514</v>
      </c>
      <c r="C1027" s="927"/>
      <c r="D1027" s="1055">
        <f>'[15]Input Sheet'!Q329</f>
        <v>8.6192099999999994E-2</v>
      </c>
      <c r="F1027" s="911">
        <v>8.6133199999999993E-2</v>
      </c>
      <c r="G1027" s="243"/>
      <c r="H1027" s="243"/>
      <c r="I1027" s="243"/>
      <c r="J1027" s="243"/>
      <c r="K1027" s="243"/>
      <c r="L1027" s="243"/>
      <c r="M1027" s="243"/>
    </row>
    <row r="1028" spans="1:13" x14ac:dyDescent="0.2">
      <c r="A1028" s="835">
        <v>24622</v>
      </c>
      <c r="B1028" s="808" t="s">
        <v>1515</v>
      </c>
      <c r="C1028" s="927"/>
      <c r="D1028" s="1055">
        <f>'[15]Input Sheet'!Q330</f>
        <v>-5.6680099999999997E-2</v>
      </c>
      <c r="F1028" s="911">
        <v>-6.10191E-2</v>
      </c>
      <c r="G1028" s="243"/>
      <c r="H1028" s="243"/>
      <c r="I1028" s="243"/>
      <c r="J1028" s="243"/>
      <c r="K1028" s="243"/>
      <c r="L1028" s="243"/>
      <c r="M1028" s="243"/>
    </row>
    <row r="1029" spans="1:13" x14ac:dyDescent="0.2">
      <c r="A1029" s="835">
        <v>24626</v>
      </c>
      <c r="B1029" s="808" t="s">
        <v>1516</v>
      </c>
      <c r="C1029" s="927"/>
      <c r="D1029" s="1055">
        <f>'[15]Input Sheet'!Q331</f>
        <v>0</v>
      </c>
      <c r="F1029" s="911">
        <v>0</v>
      </c>
      <c r="G1029" s="243"/>
      <c r="H1029" s="243"/>
      <c r="I1029" s="243"/>
      <c r="J1029" s="243"/>
      <c r="K1029" s="243"/>
      <c r="L1029" s="243"/>
      <c r="M1029" s="243"/>
    </row>
    <row r="1030" spans="1:13" x14ac:dyDescent="0.2">
      <c r="A1030" s="835">
        <v>24627</v>
      </c>
      <c r="B1030" s="808" t="s">
        <v>1517</v>
      </c>
      <c r="C1030" s="927"/>
      <c r="D1030" s="1055">
        <f>'[15]Input Sheet'!Q332</f>
        <v>0</v>
      </c>
      <c r="F1030" s="911">
        <v>0</v>
      </c>
      <c r="G1030" s="243"/>
      <c r="H1030" s="243"/>
      <c r="I1030" s="243"/>
      <c r="J1030" s="243"/>
      <c r="K1030" s="243"/>
      <c r="L1030" s="243"/>
      <c r="M1030" s="243"/>
    </row>
    <row r="1031" spans="1:13" x14ac:dyDescent="0.2">
      <c r="A1031" s="835">
        <v>24631</v>
      </c>
      <c r="B1031" s="808" t="s">
        <v>1518</v>
      </c>
      <c r="C1031" s="927"/>
      <c r="D1031" s="1055">
        <f>'[15]Input Sheet'!Q334</f>
        <v>5.9241868999999996E-2</v>
      </c>
      <c r="F1031" s="911">
        <v>7.1269162999999996E-2</v>
      </c>
      <c r="G1031" s="243"/>
      <c r="H1031" s="243"/>
      <c r="I1031" s="243"/>
      <c r="J1031" s="243"/>
      <c r="K1031" s="243"/>
      <c r="L1031" s="243"/>
      <c r="M1031" s="243"/>
    </row>
    <row r="1032" spans="1:13" x14ac:dyDescent="0.2">
      <c r="A1032" s="835">
        <v>24632</v>
      </c>
      <c r="B1032" s="808" t="s">
        <v>1519</v>
      </c>
      <c r="C1032" s="927"/>
      <c r="D1032" s="1055">
        <f>'[15]Input Sheet'!Q335</f>
        <v>0</v>
      </c>
      <c r="F1032" s="911">
        <v>-4.6411999999999998E-3</v>
      </c>
      <c r="G1032" s="243"/>
      <c r="H1032" s="243"/>
      <c r="I1032" s="243"/>
      <c r="J1032" s="243"/>
      <c r="K1032" s="243"/>
      <c r="L1032" s="243"/>
      <c r="M1032" s="243"/>
    </row>
    <row r="1033" spans="1:13" x14ac:dyDescent="0.2">
      <c r="A1033" s="835">
        <v>24636</v>
      </c>
      <c r="B1033" s="808" t="s">
        <v>1520</v>
      </c>
      <c r="C1033" s="927"/>
      <c r="D1033" s="1055">
        <f>'[15]Input Sheet'!Q336</f>
        <v>0</v>
      </c>
      <c r="F1033" s="911">
        <v>0</v>
      </c>
      <c r="G1033" s="243"/>
      <c r="H1033" s="243"/>
      <c r="I1033" s="243"/>
      <c r="J1033" s="243"/>
      <c r="K1033" s="243"/>
      <c r="L1033" s="243"/>
      <c r="M1033" s="243"/>
    </row>
    <row r="1034" spans="1:13" x14ac:dyDescent="0.2">
      <c r="A1034" s="835">
        <v>24637</v>
      </c>
      <c r="B1034" s="808" t="s">
        <v>1521</v>
      </c>
      <c r="C1034" s="927"/>
      <c r="D1034" s="1055">
        <f>'[15]Input Sheet'!Q337</f>
        <v>0</v>
      </c>
      <c r="F1034" s="911">
        <v>0</v>
      </c>
      <c r="G1034" s="243"/>
      <c r="H1034" s="243"/>
      <c r="I1034" s="243"/>
      <c r="J1034" s="243"/>
      <c r="K1034" s="243"/>
      <c r="L1034" s="243"/>
      <c r="M1034" s="243"/>
    </row>
    <row r="1035" spans="1:13" x14ac:dyDescent="0.2">
      <c r="A1035" s="835">
        <v>24641</v>
      </c>
      <c r="B1035" s="808" t="s">
        <v>1522</v>
      </c>
      <c r="C1035" s="927"/>
      <c r="D1035" s="1055">
        <f>'[15]Input Sheet'!Q339</f>
        <v>0.771539156</v>
      </c>
      <c r="F1035" s="911">
        <v>0.44014629500000002</v>
      </c>
    </row>
    <row r="1036" spans="1:13" x14ac:dyDescent="0.2">
      <c r="A1036" s="835">
        <v>24642</v>
      </c>
      <c r="B1036" s="808" t="s">
        <v>1523</v>
      </c>
      <c r="C1036" s="927"/>
      <c r="D1036" s="1055">
        <f>'[15]Input Sheet'!Q340</f>
        <v>-0.723049795</v>
      </c>
      <c r="F1036" s="911">
        <v>-0.35859746000000003</v>
      </c>
    </row>
    <row r="1037" spans="1:13" x14ac:dyDescent="0.2">
      <c r="A1037" s="835">
        <v>24646</v>
      </c>
      <c r="B1037" s="808" t="s">
        <v>1524</v>
      </c>
      <c r="C1037" s="927"/>
      <c r="D1037" s="1055">
        <f>'[15]Input Sheet'!Q341</f>
        <v>0</v>
      </c>
      <c r="F1037" s="911">
        <v>0</v>
      </c>
    </row>
    <row r="1038" spans="1:13" x14ac:dyDescent="0.2">
      <c r="A1038" s="835">
        <v>24647</v>
      </c>
      <c r="B1038" s="808" t="s">
        <v>1525</v>
      </c>
      <c r="C1038" s="927"/>
      <c r="D1038" s="1055">
        <f>'[15]Input Sheet'!Q342</f>
        <v>0</v>
      </c>
      <c r="F1038" s="911">
        <v>0</v>
      </c>
    </row>
    <row r="1039" spans="1:13" x14ac:dyDescent="0.2">
      <c r="A1039" s="835">
        <v>24651</v>
      </c>
      <c r="B1039" s="808" t="s">
        <v>1526</v>
      </c>
      <c r="C1039" s="927"/>
      <c r="D1039" s="1055">
        <f>'[15]Input Sheet'!Q343</f>
        <v>0</v>
      </c>
      <c r="F1039" s="911">
        <v>0</v>
      </c>
    </row>
    <row r="1040" spans="1:13" x14ac:dyDescent="0.2">
      <c r="A1040" s="835">
        <v>24652</v>
      </c>
      <c r="B1040" s="808" t="s">
        <v>1527</v>
      </c>
      <c r="C1040" s="927"/>
      <c r="D1040" s="1055">
        <f>'[15]Input Sheet'!Q344</f>
        <v>0</v>
      </c>
      <c r="F1040" s="911">
        <v>0</v>
      </c>
    </row>
    <row r="1041" spans="1:6" x14ac:dyDescent="0.2">
      <c r="A1041" s="835">
        <v>24656</v>
      </c>
      <c r="B1041" s="808" t="s">
        <v>1528</v>
      </c>
      <c r="C1041" s="927"/>
      <c r="D1041" s="1055">
        <f>'[15]Input Sheet'!Q345</f>
        <v>2.0549419999999997E-3</v>
      </c>
      <c r="F1041" s="911">
        <v>1.2017241999999999E-2</v>
      </c>
    </row>
    <row r="1042" spans="1:6" x14ac:dyDescent="0.2">
      <c r="A1042" s="835">
        <v>24657</v>
      </c>
      <c r="B1042" s="808" t="s">
        <v>1529</v>
      </c>
      <c r="C1042" s="927"/>
      <c r="D1042" s="1055">
        <f>'[15]Input Sheet'!Q346</f>
        <v>0</v>
      </c>
      <c r="F1042" s="911">
        <v>0</v>
      </c>
    </row>
    <row r="1043" spans="1:6" x14ac:dyDescent="0.2">
      <c r="A1043" s="835">
        <v>24661</v>
      </c>
      <c r="B1043" s="808" t="s">
        <v>1530</v>
      </c>
      <c r="C1043" s="927"/>
      <c r="D1043" s="1055">
        <f>'[15]Input Sheet'!Q348</f>
        <v>2.9350999999999999E-3</v>
      </c>
      <c r="F1043" s="911">
        <v>0.205465438</v>
      </c>
    </row>
    <row r="1044" spans="1:6" x14ac:dyDescent="0.2">
      <c r="A1044" s="835">
        <v>24662</v>
      </c>
      <c r="B1044" s="808" t="s">
        <v>1531</v>
      </c>
      <c r="C1044" s="927"/>
      <c r="D1044" s="1055">
        <f>'[15]Input Sheet'!Q349</f>
        <v>0</v>
      </c>
      <c r="F1044" s="911">
        <v>-0.20000332900000001</v>
      </c>
    </row>
    <row r="1045" spans="1:6" x14ac:dyDescent="0.2">
      <c r="A1045" s="835">
        <v>24663</v>
      </c>
      <c r="B1045" s="808" t="s">
        <v>1532</v>
      </c>
      <c r="C1045" s="927"/>
      <c r="D1045" s="1055">
        <f>'[15]Input Sheet'!Q350</f>
        <v>0</v>
      </c>
      <c r="F1045" s="911">
        <v>0</v>
      </c>
    </row>
    <row r="1046" spans="1:6" x14ac:dyDescent="0.2">
      <c r="A1046" s="835">
        <v>24664</v>
      </c>
      <c r="B1046" s="808" t="s">
        <v>1533</v>
      </c>
      <c r="C1046" s="927"/>
      <c r="D1046" s="1055">
        <f>'[15]Input Sheet'!Q351</f>
        <v>0</v>
      </c>
      <c r="F1046" s="911">
        <v>0</v>
      </c>
    </row>
    <row r="1047" spans="1:6" x14ac:dyDescent="0.2">
      <c r="A1047" s="835">
        <v>24666</v>
      </c>
      <c r="B1047" s="808" t="s">
        <v>1534</v>
      </c>
      <c r="C1047" s="927"/>
      <c r="D1047" s="1055">
        <f>'[15]Input Sheet'!Q352</f>
        <v>0</v>
      </c>
      <c r="F1047" s="911">
        <v>0</v>
      </c>
    </row>
    <row r="1048" spans="1:6" x14ac:dyDescent="0.2">
      <c r="A1048" s="835">
        <v>24667</v>
      </c>
      <c r="B1048" s="808" t="s">
        <v>1535</v>
      </c>
      <c r="C1048" s="927"/>
      <c r="D1048" s="1055">
        <f>'[15]Input Sheet'!Q353</f>
        <v>0</v>
      </c>
      <c r="F1048" s="911">
        <v>0</v>
      </c>
    </row>
    <row r="1049" spans="1:6" x14ac:dyDescent="0.2">
      <c r="A1049" s="835">
        <v>24668</v>
      </c>
      <c r="B1049" s="808" t="s">
        <v>1536</v>
      </c>
      <c r="C1049" s="927"/>
      <c r="D1049" s="1055">
        <f>'[15]Input Sheet'!Q354</f>
        <v>2.5521518999999999E-2</v>
      </c>
    </row>
    <row r="1050" spans="1:6" x14ac:dyDescent="0.2">
      <c r="A1050" s="835">
        <v>24669</v>
      </c>
      <c r="B1050" s="808" t="s">
        <v>1537</v>
      </c>
      <c r="C1050" s="927"/>
      <c r="D1050" s="1055">
        <f>'[15]Input Sheet'!Q355</f>
        <v>0</v>
      </c>
      <c r="F1050" s="911">
        <v>1.2987988000000001E-2</v>
      </c>
    </row>
    <row r="1051" spans="1:6" x14ac:dyDescent="0.2">
      <c r="A1051" s="835">
        <v>24671</v>
      </c>
      <c r="B1051" s="808" t="s">
        <v>1538</v>
      </c>
      <c r="C1051" s="927"/>
      <c r="D1051" s="1055">
        <f>'[15]Input Sheet'!Q357</f>
        <v>2.32816E-2</v>
      </c>
      <c r="F1051" s="911">
        <v>-1E-3</v>
      </c>
    </row>
    <row r="1052" spans="1:6" x14ac:dyDescent="0.2">
      <c r="A1052" s="835">
        <v>24672</v>
      </c>
      <c r="B1052" s="808" t="s">
        <v>1539</v>
      </c>
      <c r="C1052" s="927"/>
      <c r="D1052" s="1055">
        <f>'[15]Input Sheet'!Q358</f>
        <v>-1E-3</v>
      </c>
      <c r="F1052" s="911">
        <v>0</v>
      </c>
    </row>
    <row r="1053" spans="1:6" x14ac:dyDescent="0.2">
      <c r="A1053" s="835">
        <v>24676</v>
      </c>
      <c r="B1053" s="808" t="s">
        <v>1540</v>
      </c>
      <c r="C1053" s="927"/>
      <c r="D1053" s="1055">
        <f>'[15]Input Sheet'!Q359</f>
        <v>0</v>
      </c>
      <c r="F1053" s="911">
        <v>0</v>
      </c>
    </row>
    <row r="1054" spans="1:6" x14ac:dyDescent="0.2">
      <c r="A1054" s="835">
        <v>24677</v>
      </c>
      <c r="B1054" s="808" t="s">
        <v>1541</v>
      </c>
      <c r="C1054" s="927"/>
      <c r="D1054" s="1055">
        <f>'[15]Input Sheet'!Q360</f>
        <v>0</v>
      </c>
      <c r="F1054" s="911">
        <v>3.9905068000000002E-2</v>
      </c>
    </row>
    <row r="1055" spans="1:6" x14ac:dyDescent="0.2">
      <c r="A1055" s="835">
        <v>24681</v>
      </c>
      <c r="B1055" s="808" t="s">
        <v>1542</v>
      </c>
      <c r="C1055" s="927"/>
      <c r="D1055" s="1055">
        <f>'[15]Input Sheet'!Q362</f>
        <v>3.9905068000000002E-2</v>
      </c>
      <c r="F1055" s="911">
        <v>-3.9905068000000002E-2</v>
      </c>
    </row>
    <row r="1056" spans="1:6" x14ac:dyDescent="0.2">
      <c r="A1056" s="835">
        <v>24682</v>
      </c>
      <c r="B1056" s="808" t="s">
        <v>1543</v>
      </c>
      <c r="C1056" s="927"/>
      <c r="D1056" s="1055">
        <f>'[15]Input Sheet'!Q363</f>
        <v>-3.9905068000000002E-2</v>
      </c>
      <c r="F1056" s="911">
        <v>1.8593865000000001E-2</v>
      </c>
    </row>
    <row r="1057" spans="1:13" x14ac:dyDescent="0.2">
      <c r="A1057" s="835">
        <v>24684</v>
      </c>
      <c r="B1057" s="808" t="s">
        <v>1544</v>
      </c>
      <c r="C1057" s="927"/>
      <c r="D1057" s="1055">
        <f>'[15]Input Sheet'!Q364</f>
        <v>1.7925660999999999E-2</v>
      </c>
      <c r="F1057" s="911">
        <v>0</v>
      </c>
    </row>
    <row r="1058" spans="1:13" x14ac:dyDescent="0.2">
      <c r="A1058" s="835">
        <v>24686</v>
      </c>
      <c r="B1058" s="808" t="s">
        <v>1545</v>
      </c>
      <c r="C1058" s="927"/>
      <c r="D1058" s="1055">
        <f>'[15]Input Sheet'!Q365</f>
        <v>0</v>
      </c>
      <c r="F1058" s="911">
        <v>0</v>
      </c>
    </row>
    <row r="1059" spans="1:13" x14ac:dyDescent="0.2">
      <c r="A1059" s="835">
        <v>24687</v>
      </c>
      <c r="B1059" s="808" t="s">
        <v>1546</v>
      </c>
      <c r="C1059" s="927"/>
      <c r="D1059" s="1055">
        <f>'[15]Input Sheet'!Q366</f>
        <v>0</v>
      </c>
      <c r="F1059" s="911">
        <v>0.26236679099999999</v>
      </c>
    </row>
    <row r="1060" spans="1:13" x14ac:dyDescent="0.2">
      <c r="A1060" s="835">
        <v>24691</v>
      </c>
      <c r="B1060" s="808" t="s">
        <v>1547</v>
      </c>
      <c r="C1060" s="927"/>
      <c r="D1060" s="1055">
        <f>'[15]Input Sheet'!Q368</f>
        <v>0.26236679099999999</v>
      </c>
      <c r="F1060" s="911">
        <v>-0.262366816</v>
      </c>
    </row>
    <row r="1061" spans="1:13" x14ac:dyDescent="0.2">
      <c r="A1061" s="835">
        <v>24692</v>
      </c>
      <c r="B1061" s="808" t="s">
        <v>1548</v>
      </c>
      <c r="C1061" s="927"/>
      <c r="D1061" s="1055">
        <f>'[15]Input Sheet'!Q369</f>
        <v>-0.262366816</v>
      </c>
      <c r="F1061" s="911">
        <v>7.9298000000000007E-3</v>
      </c>
    </row>
    <row r="1062" spans="1:13" x14ac:dyDescent="0.2">
      <c r="A1062" s="835">
        <v>24693</v>
      </c>
      <c r="B1062" s="808" t="s">
        <v>1549</v>
      </c>
      <c r="C1062" s="927"/>
      <c r="D1062" s="1055">
        <f>'[15]Input Sheet'!Q370</f>
        <v>7.9298000000000007E-3</v>
      </c>
      <c r="F1062" s="911">
        <v>-2.4922E-3</v>
      </c>
    </row>
    <row r="1063" spans="1:13" x14ac:dyDescent="0.2">
      <c r="A1063" s="835">
        <v>24694</v>
      </c>
      <c r="B1063" s="808" t="s">
        <v>1550</v>
      </c>
      <c r="C1063" s="927"/>
      <c r="D1063" s="1055">
        <f>'[15]Input Sheet'!Q371</f>
        <v>-6.4298000000000003E-3</v>
      </c>
      <c r="F1063" s="911">
        <v>0</v>
      </c>
    </row>
    <row r="1064" spans="1:13" x14ac:dyDescent="0.2">
      <c r="A1064" s="835">
        <v>24696</v>
      </c>
      <c r="B1064" s="808" t="s">
        <v>1551</v>
      </c>
      <c r="C1064" s="927"/>
      <c r="D1064" s="1055">
        <f>'[15]Input Sheet'!Q372</f>
        <v>8.5163850000000013E-3</v>
      </c>
      <c r="F1064" s="911">
        <v>0</v>
      </c>
    </row>
    <row r="1065" spans="1:13" x14ac:dyDescent="0.2">
      <c r="A1065" s="835">
        <v>24697</v>
      </c>
      <c r="B1065" s="808" t="s">
        <v>1552</v>
      </c>
      <c r="C1065" s="927"/>
      <c r="D1065" s="1055">
        <f>'[15]Input Sheet'!Q373</f>
        <v>0</v>
      </c>
      <c r="F1065" s="911">
        <v>0.36798845000000002</v>
      </c>
    </row>
    <row r="1066" spans="1:13" x14ac:dyDescent="0.2">
      <c r="A1066" s="835">
        <v>24701</v>
      </c>
      <c r="B1066" s="808" t="s">
        <v>1553</v>
      </c>
      <c r="C1066" s="927"/>
      <c r="D1066" s="1055">
        <f>'[15]Input Sheet'!Q375</f>
        <v>0</v>
      </c>
      <c r="F1066" s="911">
        <v>-0.36673417699999999</v>
      </c>
    </row>
    <row r="1067" spans="1:13" x14ac:dyDescent="0.2">
      <c r="A1067" s="835">
        <v>24702</v>
      </c>
      <c r="B1067" s="808" t="s">
        <v>1554</v>
      </c>
      <c r="C1067" s="927"/>
      <c r="D1067" s="1055">
        <f>'[15]Input Sheet'!Q376</f>
        <v>0</v>
      </c>
      <c r="F1067" s="911">
        <v>0</v>
      </c>
    </row>
    <row r="1068" spans="1:13" x14ac:dyDescent="0.2">
      <c r="A1068" s="835">
        <v>24706</v>
      </c>
      <c r="B1068" s="808" t="s">
        <v>1555</v>
      </c>
      <c r="C1068" s="927"/>
      <c r="D1068" s="1055">
        <f>'[15]Input Sheet'!Q378</f>
        <v>0</v>
      </c>
      <c r="F1068" s="911">
        <v>2.3624624E-2</v>
      </c>
      <c r="G1068" s="243"/>
      <c r="H1068" s="243"/>
      <c r="I1068" s="243"/>
      <c r="J1068" s="243"/>
      <c r="K1068" s="243"/>
      <c r="L1068" s="243"/>
      <c r="M1068" s="243"/>
    </row>
    <row r="1069" spans="1:13" x14ac:dyDescent="0.2">
      <c r="A1069" s="835">
        <v>24704</v>
      </c>
      <c r="B1069" s="808" t="s">
        <v>1556</v>
      </c>
      <c r="C1069" s="927"/>
      <c r="D1069" s="1055">
        <f>'[15]Input Sheet'!Q377</f>
        <v>2.0719835999999998E-2</v>
      </c>
      <c r="F1069" s="911">
        <v>0</v>
      </c>
      <c r="G1069" s="243"/>
      <c r="H1069" s="243"/>
      <c r="I1069" s="243"/>
      <c r="J1069" s="243"/>
      <c r="K1069" s="243"/>
      <c r="L1069" s="243"/>
      <c r="M1069" s="243"/>
    </row>
    <row r="1070" spans="1:13" x14ac:dyDescent="0.2">
      <c r="A1070" s="835">
        <v>24707</v>
      </c>
      <c r="B1070" s="808" t="s">
        <v>1557</v>
      </c>
      <c r="C1070" s="927"/>
      <c r="D1070" s="1055">
        <f>'[15]Input Sheet'!Q379</f>
        <v>0</v>
      </c>
      <c r="F1070" s="911">
        <v>3.8449087999999999E-2</v>
      </c>
      <c r="G1070" s="243"/>
      <c r="H1070" s="243"/>
      <c r="I1070" s="243"/>
      <c r="J1070" s="243"/>
      <c r="K1070" s="243"/>
      <c r="L1070" s="243"/>
      <c r="M1070" s="243"/>
    </row>
    <row r="1071" spans="1:13" x14ac:dyDescent="0.2">
      <c r="A1071" s="835">
        <v>24801</v>
      </c>
      <c r="B1071" s="808" t="s">
        <v>1558</v>
      </c>
      <c r="C1071" s="927"/>
      <c r="D1071" s="1055">
        <f>'[15]Input Sheet'!Q381</f>
        <v>6.9438288000000001E-2</v>
      </c>
      <c r="F1071" s="911">
        <v>-7.3876000000000002E-3</v>
      </c>
      <c r="G1071" s="243"/>
      <c r="H1071" s="243"/>
      <c r="I1071" s="243"/>
      <c r="J1071" s="243"/>
      <c r="K1071" s="243"/>
      <c r="L1071" s="243"/>
      <c r="M1071" s="243"/>
    </row>
    <row r="1072" spans="1:13" x14ac:dyDescent="0.2">
      <c r="A1072" s="835">
        <v>24802</v>
      </c>
      <c r="B1072" s="808" t="s">
        <v>1559</v>
      </c>
      <c r="C1072" s="927"/>
      <c r="D1072" s="1055">
        <f>'[15]Input Sheet'!Q382</f>
        <v>-8.1913000000000003E-3</v>
      </c>
      <c r="F1072" s="911">
        <v>0</v>
      </c>
      <c r="G1072" s="243"/>
      <c r="H1072" s="243"/>
      <c r="I1072" s="243"/>
      <c r="J1072" s="243"/>
      <c r="K1072" s="243"/>
      <c r="L1072" s="243"/>
      <c r="M1072" s="243"/>
    </row>
    <row r="1073" spans="1:13" x14ac:dyDescent="0.2">
      <c r="A1073" s="835">
        <v>24806</v>
      </c>
      <c r="B1073" s="808" t="s">
        <v>1560</v>
      </c>
      <c r="C1073" s="927"/>
      <c r="D1073" s="1055">
        <f>'[15]Input Sheet'!Q383</f>
        <v>0</v>
      </c>
      <c r="F1073" s="911">
        <v>0</v>
      </c>
      <c r="G1073" s="243"/>
      <c r="H1073" s="243"/>
      <c r="I1073" s="243"/>
      <c r="J1073" s="243"/>
      <c r="K1073" s="243"/>
      <c r="L1073" s="243"/>
      <c r="M1073" s="243"/>
    </row>
    <row r="1074" spans="1:13" x14ac:dyDescent="0.2">
      <c r="A1074" s="835">
        <v>24807</v>
      </c>
      <c r="B1074" s="808" t="s">
        <v>1561</v>
      </c>
      <c r="C1074" s="927"/>
      <c r="D1074" s="1055">
        <f>'[15]Input Sheet'!Q384</f>
        <v>0</v>
      </c>
      <c r="F1074" s="911">
        <v>6.7677150000000005E-2</v>
      </c>
      <c r="G1074" s="243"/>
      <c r="H1074" s="243"/>
      <c r="I1074" s="243"/>
      <c r="J1074" s="243"/>
      <c r="K1074" s="243"/>
      <c r="L1074" s="243"/>
      <c r="M1074" s="243"/>
    </row>
    <row r="1075" spans="1:13" x14ac:dyDescent="0.2">
      <c r="A1075" s="835">
        <v>24808</v>
      </c>
      <c r="B1075" s="808" t="s">
        <v>1562</v>
      </c>
      <c r="C1075" s="927"/>
      <c r="D1075" s="1055">
        <f>'[15]Input Sheet'!Q385</f>
        <v>9.4614999999999999E-4</v>
      </c>
      <c r="F1075" s="911">
        <v>0</v>
      </c>
      <c r="G1075" s="243"/>
      <c r="H1075" s="243"/>
      <c r="I1075" s="243"/>
      <c r="J1075" s="243"/>
      <c r="K1075" s="243"/>
      <c r="L1075" s="243"/>
      <c r="M1075" s="243"/>
    </row>
    <row r="1076" spans="1:13" x14ac:dyDescent="0.2">
      <c r="A1076" s="835">
        <v>24809</v>
      </c>
      <c r="B1076" s="808" t="s">
        <v>1563</v>
      </c>
      <c r="C1076" s="927"/>
      <c r="D1076" s="1055">
        <f>'[15]Input Sheet'!Q386</f>
        <v>0</v>
      </c>
      <c r="F1076" s="911">
        <v>9.2089488999999997E-2</v>
      </c>
      <c r="G1076" s="243"/>
      <c r="H1076" s="243"/>
      <c r="I1076" s="243"/>
      <c r="J1076" s="243"/>
      <c r="K1076" s="243"/>
      <c r="L1076" s="243"/>
      <c r="M1076" s="243"/>
    </row>
    <row r="1077" spans="1:13" x14ac:dyDescent="0.2">
      <c r="A1077" s="835">
        <v>24811</v>
      </c>
      <c r="B1077" s="808" t="s">
        <v>1564</v>
      </c>
      <c r="C1077" s="927"/>
      <c r="D1077" s="1055">
        <f>'[15]Input Sheet'!Q388</f>
        <v>3.5427060999999996E-2</v>
      </c>
      <c r="F1077" s="911">
        <v>-2.2689028E-2</v>
      </c>
      <c r="G1077" s="243"/>
      <c r="H1077" s="243"/>
      <c r="I1077" s="243"/>
      <c r="J1077" s="243"/>
      <c r="K1077" s="243"/>
      <c r="L1077" s="243"/>
      <c r="M1077" s="243"/>
    </row>
    <row r="1078" spans="1:13" x14ac:dyDescent="0.2">
      <c r="A1078" s="835">
        <v>24812</v>
      </c>
      <c r="B1078" s="808" t="s">
        <v>1565</v>
      </c>
      <c r="C1078" s="927"/>
      <c r="D1078" s="1055">
        <f>'[15]Input Sheet'!Q389</f>
        <v>-1.3402799999999999E-2</v>
      </c>
      <c r="F1078" s="911">
        <v>0</v>
      </c>
      <c r="G1078" s="243"/>
      <c r="H1078" s="243"/>
      <c r="I1078" s="243"/>
      <c r="J1078" s="243"/>
      <c r="K1078" s="243"/>
      <c r="L1078" s="243"/>
      <c r="M1078" s="243"/>
    </row>
    <row r="1079" spans="1:13" x14ac:dyDescent="0.2">
      <c r="A1079" s="835">
        <v>24816</v>
      </c>
      <c r="B1079" s="808" t="s">
        <v>1566</v>
      </c>
      <c r="C1079" s="927"/>
      <c r="D1079" s="1055">
        <f>'[15]Input Sheet'!Q390</f>
        <v>0</v>
      </c>
      <c r="F1079" s="911">
        <v>0</v>
      </c>
      <c r="G1079" s="243"/>
      <c r="H1079" s="243"/>
      <c r="I1079" s="243"/>
      <c r="J1079" s="243"/>
      <c r="K1079" s="243"/>
      <c r="L1079" s="243"/>
      <c r="M1079" s="243"/>
    </row>
    <row r="1080" spans="1:13" x14ac:dyDescent="0.2">
      <c r="A1080" s="835">
        <v>24817</v>
      </c>
      <c r="B1080" s="808" t="s">
        <v>1567</v>
      </c>
      <c r="C1080" s="927"/>
      <c r="D1080" s="1055">
        <f>'[15]Input Sheet'!Q391</f>
        <v>0</v>
      </c>
      <c r="F1080" s="911">
        <v>1.1204724000000001E-2</v>
      </c>
      <c r="G1080" s="243"/>
      <c r="H1080" s="243"/>
      <c r="I1080" s="243"/>
      <c r="J1080" s="243"/>
      <c r="K1080" s="243"/>
      <c r="L1080" s="243"/>
      <c r="M1080" s="243"/>
    </row>
    <row r="1081" spans="1:13" x14ac:dyDescent="0.2">
      <c r="A1081" s="835">
        <v>24818</v>
      </c>
      <c r="B1081" s="808" t="s">
        <v>1568</v>
      </c>
      <c r="C1081" s="927"/>
      <c r="D1081" s="1055">
        <f>'[15]Input Sheet'!Q392</f>
        <v>2.6052123999999999E-2</v>
      </c>
      <c r="F1081" s="911">
        <v>0</v>
      </c>
      <c r="G1081" s="243"/>
      <c r="H1081" s="243"/>
      <c r="I1081" s="243"/>
      <c r="J1081" s="243"/>
      <c r="K1081" s="243"/>
      <c r="L1081" s="243"/>
      <c r="M1081" s="243"/>
    </row>
    <row r="1082" spans="1:13" x14ac:dyDescent="0.2">
      <c r="A1082" s="835">
        <v>24819</v>
      </c>
      <c r="B1082" s="808" t="s">
        <v>1569</v>
      </c>
      <c r="C1082" s="927"/>
      <c r="D1082" s="1055">
        <f>'[15]Input Sheet'!Q393</f>
        <v>0</v>
      </c>
      <c r="F1082" s="911">
        <v>0</v>
      </c>
      <c r="G1082" s="243"/>
      <c r="H1082" s="243"/>
      <c r="I1082" s="243"/>
      <c r="J1082" s="243"/>
      <c r="K1082" s="243"/>
      <c r="L1082" s="243"/>
      <c r="M1082" s="243"/>
    </row>
    <row r="1083" spans="1:13" x14ac:dyDescent="0.2">
      <c r="A1083" s="835">
        <v>24821</v>
      </c>
      <c r="B1083" s="808" t="s">
        <v>1570</v>
      </c>
      <c r="C1083" s="927"/>
      <c r="D1083" s="1055">
        <f>'[15]Input Sheet'!Q395</f>
        <v>0</v>
      </c>
      <c r="F1083" s="911">
        <v>0</v>
      </c>
      <c r="G1083" s="243"/>
      <c r="H1083" s="243"/>
      <c r="I1083" s="243"/>
      <c r="J1083" s="243"/>
      <c r="K1083" s="243"/>
      <c r="L1083" s="243"/>
      <c r="M1083" s="243"/>
    </row>
    <row r="1084" spans="1:13" x14ac:dyDescent="0.2">
      <c r="A1084" s="835">
        <v>24822</v>
      </c>
      <c r="B1084" s="808" t="s">
        <v>1571</v>
      </c>
      <c r="C1084" s="927"/>
      <c r="D1084" s="1055">
        <f>'[15]Input Sheet'!Q396</f>
        <v>0</v>
      </c>
      <c r="F1084" s="911">
        <v>0</v>
      </c>
      <c r="G1084" s="243"/>
      <c r="H1084" s="243"/>
      <c r="I1084" s="243"/>
      <c r="J1084" s="243"/>
      <c r="K1084" s="243"/>
      <c r="L1084" s="243"/>
      <c r="M1084" s="243"/>
    </row>
    <row r="1085" spans="1:13" x14ac:dyDescent="0.2">
      <c r="A1085" s="835">
        <v>24826</v>
      </c>
      <c r="B1085" s="808" t="s">
        <v>1572</v>
      </c>
      <c r="C1085" s="927"/>
      <c r="D1085" s="1055">
        <f>'[15]Input Sheet'!Q397</f>
        <v>0</v>
      </c>
      <c r="F1085" s="911">
        <v>0</v>
      </c>
      <c r="G1085" s="243"/>
      <c r="H1085" s="243"/>
      <c r="I1085" s="243"/>
      <c r="J1085" s="243"/>
      <c r="K1085" s="243"/>
      <c r="L1085" s="243"/>
      <c r="M1085" s="243"/>
    </row>
    <row r="1086" spans="1:13" x14ac:dyDescent="0.2">
      <c r="A1086" s="835">
        <v>24827</v>
      </c>
      <c r="B1086" s="808" t="s">
        <v>1573</v>
      </c>
      <c r="C1086" s="927"/>
      <c r="D1086" s="1055">
        <f>'[15]Input Sheet'!Q398</f>
        <v>0</v>
      </c>
      <c r="F1086" s="911">
        <v>0</v>
      </c>
      <c r="G1086" s="243"/>
      <c r="H1086" s="243"/>
      <c r="I1086" s="243"/>
      <c r="J1086" s="243"/>
      <c r="K1086" s="243"/>
      <c r="L1086" s="243"/>
      <c r="M1086" s="243"/>
    </row>
    <row r="1087" spans="1:13" x14ac:dyDescent="0.2">
      <c r="A1087" s="835">
        <v>24828</v>
      </c>
      <c r="B1087" s="808" t="s">
        <v>1574</v>
      </c>
      <c r="C1087" s="927"/>
      <c r="D1087" s="1055">
        <f>'[15]Input Sheet'!Q399</f>
        <v>0</v>
      </c>
      <c r="F1087" s="911">
        <v>0</v>
      </c>
      <c r="G1087" s="243"/>
      <c r="H1087" s="243"/>
      <c r="I1087" s="243"/>
      <c r="J1087" s="243"/>
      <c r="K1087" s="243"/>
      <c r="L1087" s="243"/>
      <c r="M1087" s="243"/>
    </row>
    <row r="1088" spans="1:13" x14ac:dyDescent="0.2">
      <c r="A1088" s="835">
        <v>24829</v>
      </c>
      <c r="B1088" s="808" t="s">
        <v>1575</v>
      </c>
      <c r="C1088" s="927"/>
      <c r="D1088" s="1055">
        <f>'[15]Input Sheet'!Q400</f>
        <v>0</v>
      </c>
      <c r="F1088" s="911">
        <v>0.14220459999999999</v>
      </c>
      <c r="G1088" s="243"/>
      <c r="H1088" s="243"/>
      <c r="I1088" s="243"/>
      <c r="J1088" s="243"/>
      <c r="K1088" s="243"/>
      <c r="L1088" s="243"/>
      <c r="M1088" s="243"/>
    </row>
    <row r="1089" spans="1:13" x14ac:dyDescent="0.2">
      <c r="A1089" s="835">
        <v>24831</v>
      </c>
      <c r="B1089" s="808" t="s">
        <v>1576</v>
      </c>
      <c r="C1089" s="927"/>
      <c r="D1089" s="1055">
        <f>'[15]Input Sheet'!Q402</f>
        <v>2.0602700000000002E-2</v>
      </c>
      <c r="F1089" s="911">
        <v>0</v>
      </c>
      <c r="G1089" s="243"/>
      <c r="H1089" s="243"/>
      <c r="I1089" s="243"/>
      <c r="J1089" s="243"/>
      <c r="K1089" s="243"/>
      <c r="L1089" s="243"/>
      <c r="M1089" s="243"/>
    </row>
    <row r="1090" spans="1:13" x14ac:dyDescent="0.2">
      <c r="A1090" s="835">
        <v>24832</v>
      </c>
      <c r="B1090" s="808" t="s">
        <v>1577</v>
      </c>
      <c r="C1090" s="927"/>
      <c r="D1090" s="1055">
        <f>'[15]Input Sheet'!Q403</f>
        <v>0</v>
      </c>
      <c r="F1090" s="911">
        <v>0</v>
      </c>
      <c r="G1090" s="243"/>
      <c r="H1090" s="243"/>
      <c r="I1090" s="243"/>
      <c r="J1090" s="243"/>
      <c r="K1090" s="243"/>
      <c r="L1090" s="243"/>
      <c r="M1090" s="243"/>
    </row>
    <row r="1091" spans="1:13" x14ac:dyDescent="0.2">
      <c r="A1091" s="835">
        <v>24836</v>
      </c>
      <c r="B1091" s="808" t="s">
        <v>1578</v>
      </c>
      <c r="C1091" s="927"/>
      <c r="D1091" s="1055">
        <f>'[15]Input Sheet'!Q404</f>
        <v>0</v>
      </c>
      <c r="F1091" s="911">
        <v>0</v>
      </c>
      <c r="G1091" s="243"/>
      <c r="H1091" s="243"/>
      <c r="I1091" s="243"/>
      <c r="J1091" s="243"/>
      <c r="K1091" s="243"/>
      <c r="L1091" s="243"/>
      <c r="M1091" s="243"/>
    </row>
    <row r="1092" spans="1:13" x14ac:dyDescent="0.2">
      <c r="A1092" s="835">
        <v>24837</v>
      </c>
      <c r="B1092" s="808" t="s">
        <v>1579</v>
      </c>
      <c r="C1092" s="927"/>
      <c r="D1092" s="1055">
        <f>'[15]Input Sheet'!Q405</f>
        <v>0</v>
      </c>
      <c r="F1092" s="911">
        <v>1.1719908999999999E-2</v>
      </c>
      <c r="G1092" s="243"/>
      <c r="H1092" s="243"/>
      <c r="I1092" s="243"/>
      <c r="J1092" s="243"/>
      <c r="K1092" s="243"/>
      <c r="L1092" s="243"/>
      <c r="M1092" s="243"/>
    </row>
    <row r="1093" spans="1:13" x14ac:dyDescent="0.2">
      <c r="A1093" s="835">
        <v>24841</v>
      </c>
      <c r="B1093" s="808" t="s">
        <v>1580</v>
      </c>
      <c r="C1093" s="927"/>
      <c r="D1093" s="1055">
        <f>'[15]Input Sheet'!Q407</f>
        <v>4.2967384000000004E-2</v>
      </c>
      <c r="F1093" s="911">
        <v>0</v>
      </c>
      <c r="G1093" s="243"/>
      <c r="H1093" s="243"/>
      <c r="I1093" s="243"/>
      <c r="J1093" s="243"/>
      <c r="K1093" s="243"/>
      <c r="L1093" s="243"/>
      <c r="M1093" s="243"/>
    </row>
    <row r="1094" spans="1:13" x14ac:dyDescent="0.2">
      <c r="A1094" s="835">
        <v>24842</v>
      </c>
      <c r="B1094" s="808" t="s">
        <v>1581</v>
      </c>
      <c r="C1094" s="927"/>
      <c r="D1094" s="1055">
        <f>'[15]Input Sheet'!Q408</f>
        <v>0</v>
      </c>
      <c r="F1094" s="911">
        <v>0</v>
      </c>
      <c r="G1094" s="243"/>
      <c r="H1094" s="243"/>
      <c r="I1094" s="243"/>
      <c r="J1094" s="243"/>
      <c r="K1094" s="243"/>
      <c r="L1094" s="243"/>
      <c r="M1094" s="243"/>
    </row>
    <row r="1095" spans="1:13" x14ac:dyDescent="0.2">
      <c r="A1095" s="835">
        <v>24846</v>
      </c>
      <c r="B1095" s="808" t="s">
        <v>1582</v>
      </c>
      <c r="C1095" s="927"/>
      <c r="D1095" s="1055">
        <f>'[15]Input Sheet'!Q409</f>
        <v>0</v>
      </c>
      <c r="F1095" s="911">
        <v>0</v>
      </c>
      <c r="G1095" s="243"/>
      <c r="H1095" s="243"/>
      <c r="I1095" s="243"/>
      <c r="J1095" s="243"/>
      <c r="K1095" s="243"/>
      <c r="L1095" s="243"/>
      <c r="M1095" s="243"/>
    </row>
    <row r="1096" spans="1:13" x14ac:dyDescent="0.2">
      <c r="A1096" s="835">
        <v>24847</v>
      </c>
      <c r="B1096" s="808" t="s">
        <v>1583</v>
      </c>
      <c r="C1096" s="927"/>
      <c r="D1096" s="1055">
        <f>'[15]Input Sheet'!Q410</f>
        <v>0</v>
      </c>
      <c r="F1096" s="911">
        <v>1.8813928000000001E-2</v>
      </c>
      <c r="G1096" s="243"/>
      <c r="H1096" s="243"/>
      <c r="I1096" s="243"/>
      <c r="J1096" s="243"/>
      <c r="K1096" s="243"/>
      <c r="L1096" s="243"/>
      <c r="M1096" s="243"/>
    </row>
    <row r="1097" spans="1:13" x14ac:dyDescent="0.2">
      <c r="A1097" s="835">
        <v>24848</v>
      </c>
      <c r="B1097" s="808" t="s">
        <v>1584</v>
      </c>
      <c r="C1097" s="927"/>
      <c r="D1097" s="1055">
        <f>'[15]Input Sheet'!Q411</f>
        <v>9.6385600000000009E-3</v>
      </c>
      <c r="F1097" s="911">
        <v>-1.15929E-2</v>
      </c>
      <c r="G1097" s="243"/>
      <c r="H1097" s="243"/>
      <c r="I1097" s="243"/>
      <c r="J1097" s="243"/>
      <c r="K1097" s="243"/>
      <c r="L1097" s="243"/>
      <c r="M1097" s="243"/>
    </row>
    <row r="1098" spans="1:13" x14ac:dyDescent="0.2">
      <c r="A1098" s="835">
        <v>24849</v>
      </c>
      <c r="B1098" s="808" t="s">
        <v>1585</v>
      </c>
      <c r="C1098" s="927"/>
      <c r="D1098" s="1055">
        <f>'[15]Input Sheet'!Q412</f>
        <v>0</v>
      </c>
      <c r="F1098" s="911">
        <v>0</v>
      </c>
      <c r="G1098" s="243"/>
      <c r="H1098" s="243"/>
      <c r="I1098" s="243"/>
      <c r="J1098" s="243"/>
      <c r="K1098" s="243"/>
      <c r="L1098" s="243"/>
      <c r="M1098" s="243"/>
    </row>
    <row r="1099" spans="1:13" x14ac:dyDescent="0.2">
      <c r="A1099" s="835">
        <v>24851</v>
      </c>
      <c r="B1099" s="808" t="s">
        <v>1586</v>
      </c>
      <c r="C1099" s="927"/>
      <c r="D1099" s="1055">
        <f>'[15]Input Sheet'!Q413</f>
        <v>0</v>
      </c>
      <c r="F1099" s="911">
        <v>0</v>
      </c>
      <c r="G1099" s="243"/>
      <c r="H1099" s="243"/>
      <c r="I1099" s="243"/>
      <c r="J1099" s="243"/>
      <c r="K1099" s="243"/>
      <c r="L1099" s="243"/>
      <c r="M1099" s="243"/>
    </row>
    <row r="1100" spans="1:13" x14ac:dyDescent="0.2">
      <c r="A1100" s="835">
        <v>24852</v>
      </c>
      <c r="B1100" s="808" t="s">
        <v>1587</v>
      </c>
      <c r="C1100" s="927"/>
      <c r="D1100" s="1055">
        <f>'[15]Input Sheet'!Q414</f>
        <v>0</v>
      </c>
      <c r="F1100" s="911">
        <v>2.9795609000000004E-2</v>
      </c>
      <c r="G1100" s="243"/>
      <c r="H1100" s="243"/>
      <c r="I1100" s="243"/>
      <c r="J1100" s="243"/>
      <c r="K1100" s="243"/>
      <c r="L1100" s="243"/>
      <c r="M1100" s="243"/>
    </row>
    <row r="1101" spans="1:13" x14ac:dyDescent="0.2">
      <c r="A1101" s="835">
        <v>24861</v>
      </c>
      <c r="B1101" s="808" t="s">
        <v>1588</v>
      </c>
      <c r="C1101" s="927"/>
      <c r="D1101" s="1055">
        <f>'[15]Input Sheet'!Q416</f>
        <v>0.10367636700000001</v>
      </c>
      <c r="F1101" s="911">
        <v>1.6041E-3</v>
      </c>
      <c r="G1101" s="243"/>
      <c r="H1101" s="243"/>
      <c r="I1101" s="243"/>
      <c r="J1101" s="243"/>
      <c r="K1101" s="243"/>
      <c r="L1101" s="243"/>
      <c r="M1101" s="243"/>
    </row>
    <row r="1102" spans="1:13" x14ac:dyDescent="0.2">
      <c r="A1102" s="835">
        <v>24862</v>
      </c>
      <c r="B1102" s="808" t="s">
        <v>1589</v>
      </c>
      <c r="C1102" s="927"/>
      <c r="D1102" s="1055">
        <f>'[15]Input Sheet'!Q417</f>
        <v>0</v>
      </c>
      <c r="F1102" s="911">
        <v>0</v>
      </c>
      <c r="G1102" s="243"/>
      <c r="H1102" s="243"/>
      <c r="I1102" s="243"/>
      <c r="J1102" s="243"/>
      <c r="K1102" s="243"/>
      <c r="L1102" s="243"/>
      <c r="M1102" s="243"/>
    </row>
    <row r="1103" spans="1:13" x14ac:dyDescent="0.2">
      <c r="A1103" s="835">
        <v>24866</v>
      </c>
      <c r="B1103" s="808" t="s">
        <v>1590</v>
      </c>
      <c r="C1103" s="927"/>
      <c r="D1103" s="1055">
        <f>'[15]Input Sheet'!Q418</f>
        <v>0</v>
      </c>
      <c r="F1103" s="911">
        <v>0</v>
      </c>
      <c r="G1103" s="243"/>
      <c r="H1103" s="243"/>
      <c r="I1103" s="243"/>
      <c r="J1103" s="243"/>
      <c r="K1103" s="243"/>
      <c r="L1103" s="243"/>
      <c r="M1103" s="243"/>
    </row>
    <row r="1104" spans="1:13" x14ac:dyDescent="0.2">
      <c r="A1104" s="835">
        <v>24867</v>
      </c>
      <c r="B1104" s="808" t="s">
        <v>1591</v>
      </c>
      <c r="C1104" s="927"/>
      <c r="D1104" s="1055">
        <f>'[15]Input Sheet'!Q419</f>
        <v>0</v>
      </c>
      <c r="G1104" s="243"/>
      <c r="H1104" s="243"/>
      <c r="I1104" s="243"/>
      <c r="J1104" s="243"/>
      <c r="K1104" s="243"/>
      <c r="L1104" s="243"/>
      <c r="M1104" s="243"/>
    </row>
    <row r="1105" spans="1:13" x14ac:dyDescent="0.2">
      <c r="A1105" s="835">
        <v>24871</v>
      </c>
      <c r="B1105" s="808" t="s">
        <v>1592</v>
      </c>
      <c r="C1105" s="927"/>
      <c r="D1105" s="1055">
        <f>'[15]Input Sheet'!Q421</f>
        <v>1.7080793E-2</v>
      </c>
      <c r="F1105" s="911">
        <v>4.2986512999999997E-2</v>
      </c>
      <c r="G1105" s="243"/>
      <c r="H1105" s="243"/>
      <c r="I1105" s="243"/>
      <c r="J1105" s="243"/>
      <c r="K1105" s="243"/>
      <c r="L1105" s="243"/>
      <c r="M1105" s="243"/>
    </row>
    <row r="1106" spans="1:13" x14ac:dyDescent="0.2">
      <c r="A1106" s="835">
        <v>24872</v>
      </c>
      <c r="B1106" s="808" t="s">
        <v>1593</v>
      </c>
      <c r="C1106" s="927"/>
      <c r="D1106" s="1055">
        <f>'[15]Input Sheet'!Q422</f>
        <v>0</v>
      </c>
      <c r="F1106" s="911">
        <v>0</v>
      </c>
      <c r="G1106" s="243"/>
      <c r="H1106" s="243"/>
      <c r="I1106" s="243"/>
      <c r="J1106" s="243"/>
      <c r="K1106" s="243"/>
      <c r="L1106" s="243"/>
      <c r="M1106" s="243"/>
    </row>
    <row r="1107" spans="1:13" x14ac:dyDescent="0.2">
      <c r="A1107" s="835">
        <v>24876</v>
      </c>
      <c r="B1107" s="808" t="s">
        <v>1594</v>
      </c>
      <c r="C1107" s="927"/>
      <c r="D1107" s="1055">
        <f>'[15]Input Sheet'!Q423</f>
        <v>7.2584320000000004E-3</v>
      </c>
      <c r="F1107" s="911">
        <v>3.4875319999999998E-3</v>
      </c>
      <c r="G1107" s="243"/>
      <c r="H1107" s="243"/>
      <c r="I1107" s="243"/>
      <c r="J1107" s="243"/>
      <c r="K1107" s="243"/>
      <c r="L1107" s="243"/>
      <c r="M1107" s="243"/>
    </row>
    <row r="1108" spans="1:13" x14ac:dyDescent="0.2">
      <c r="A1108" s="835">
        <v>24877</v>
      </c>
      <c r="B1108" s="808" t="s">
        <v>1595</v>
      </c>
      <c r="C1108" s="927"/>
      <c r="D1108" s="1055">
        <f>'[15]Input Sheet'!Q424</f>
        <v>0</v>
      </c>
      <c r="F1108" s="911">
        <v>0</v>
      </c>
      <c r="G1108" s="243"/>
      <c r="H1108" s="243"/>
      <c r="I1108" s="243"/>
      <c r="J1108" s="243"/>
      <c r="K1108" s="243"/>
      <c r="L1108" s="243"/>
      <c r="M1108" s="243"/>
    </row>
    <row r="1109" spans="1:13" x14ac:dyDescent="0.2">
      <c r="A1109" s="835">
        <v>24878</v>
      </c>
      <c r="B1109" s="808" t="s">
        <v>1596</v>
      </c>
      <c r="C1109" s="927"/>
      <c r="D1109" s="1055">
        <f>'[15]Input Sheet'!Q425</f>
        <v>0</v>
      </c>
      <c r="F1109" s="911">
        <v>0</v>
      </c>
      <c r="G1109" s="243"/>
      <c r="H1109" s="243"/>
      <c r="I1109" s="243"/>
      <c r="J1109" s="243"/>
      <c r="K1109" s="243"/>
      <c r="L1109" s="243"/>
      <c r="M1109" s="243"/>
    </row>
    <row r="1110" spans="1:13" x14ac:dyDescent="0.2">
      <c r="A1110" s="835">
        <v>24879</v>
      </c>
      <c r="B1110" s="808" t="s">
        <v>1597</v>
      </c>
      <c r="C1110" s="927"/>
      <c r="D1110" s="1055">
        <f>'[15]Input Sheet'!Q426</f>
        <v>0</v>
      </c>
      <c r="F1110" s="911">
        <v>0</v>
      </c>
      <c r="G1110" s="243"/>
      <c r="H1110" s="243"/>
      <c r="I1110" s="243"/>
      <c r="J1110" s="243"/>
      <c r="K1110" s="243"/>
      <c r="L1110" s="243"/>
      <c r="M1110" s="243"/>
    </row>
    <row r="1111" spans="1:13" x14ac:dyDescent="0.2">
      <c r="A1111" s="835">
        <v>24901</v>
      </c>
      <c r="B1111" s="808" t="s">
        <v>1598</v>
      </c>
      <c r="C1111" s="927"/>
      <c r="D1111" s="1055">
        <f>'[15]Input Sheet'!Q428</f>
        <v>1.4696855999999999E-2</v>
      </c>
      <c r="F1111" s="911">
        <v>3.7963355999999997E-2</v>
      </c>
      <c r="G1111" s="243"/>
      <c r="H1111" s="243"/>
      <c r="I1111" s="243"/>
      <c r="J1111" s="243"/>
      <c r="K1111" s="243"/>
      <c r="L1111" s="243"/>
      <c r="M1111" s="243"/>
    </row>
    <row r="1112" spans="1:13" x14ac:dyDescent="0.2">
      <c r="A1112" s="835">
        <v>24902</v>
      </c>
      <c r="B1112" s="808" t="s">
        <v>1599</v>
      </c>
      <c r="C1112" s="927"/>
      <c r="D1112" s="1055">
        <f>'[15]Input Sheet'!Q429</f>
        <v>0</v>
      </c>
      <c r="F1112" s="911">
        <v>0</v>
      </c>
      <c r="G1112" s="243"/>
      <c r="H1112" s="243"/>
      <c r="I1112" s="243"/>
      <c r="J1112" s="243"/>
      <c r="K1112" s="243"/>
      <c r="L1112" s="243"/>
      <c r="M1112" s="243"/>
    </row>
    <row r="1113" spans="1:13" x14ac:dyDescent="0.2">
      <c r="A1113" s="835">
        <v>24906</v>
      </c>
      <c r="B1113" s="808" t="s">
        <v>1600</v>
      </c>
      <c r="C1113" s="927"/>
      <c r="D1113" s="1055">
        <f>'[15]Input Sheet'!Q430</f>
        <v>0</v>
      </c>
      <c r="F1113" s="911">
        <v>0</v>
      </c>
      <c r="G1113" s="243"/>
      <c r="H1113" s="243"/>
      <c r="I1113" s="243"/>
      <c r="J1113" s="243"/>
      <c r="K1113" s="243"/>
      <c r="L1113" s="243"/>
      <c r="M1113" s="243"/>
    </row>
    <row r="1114" spans="1:13" x14ac:dyDescent="0.2">
      <c r="A1114" s="835">
        <v>24907</v>
      </c>
      <c r="B1114" s="808" t="s">
        <v>1601</v>
      </c>
      <c r="C1114" s="927"/>
      <c r="D1114" s="1055">
        <f>'[15]Input Sheet'!Q431</f>
        <v>0</v>
      </c>
      <c r="F1114" s="911">
        <v>0</v>
      </c>
      <c r="G1114" s="243"/>
      <c r="H1114" s="243"/>
      <c r="I1114" s="243"/>
      <c r="J1114" s="243"/>
      <c r="K1114" s="243"/>
      <c r="L1114" s="243"/>
      <c r="M1114" s="243"/>
    </row>
    <row r="1115" spans="1:13" x14ac:dyDescent="0.2">
      <c r="A1115" s="835">
        <v>24908</v>
      </c>
      <c r="B1115" s="808" t="s">
        <v>1602</v>
      </c>
      <c r="C1115" s="927"/>
      <c r="D1115" s="1055">
        <f>'[15]Input Sheet'!Q432</f>
        <v>8.2485800000000004E-4</v>
      </c>
      <c r="F1115" s="911">
        <v>1.030008E-3</v>
      </c>
      <c r="G1115" s="243"/>
      <c r="H1115" s="243"/>
      <c r="I1115" s="243"/>
      <c r="J1115" s="243"/>
      <c r="K1115" s="243"/>
      <c r="L1115" s="243"/>
      <c r="M1115" s="243"/>
    </row>
    <row r="1116" spans="1:13" x14ac:dyDescent="0.2">
      <c r="A1116" s="835">
        <v>24909</v>
      </c>
      <c r="B1116" s="808" t="s">
        <v>1603</v>
      </c>
      <c r="C1116" s="927"/>
      <c r="D1116" s="1055">
        <f>'[15]Input Sheet'!Q433</f>
        <v>0</v>
      </c>
      <c r="F1116" s="911">
        <v>0</v>
      </c>
      <c r="G1116" s="243"/>
      <c r="H1116" s="243"/>
      <c r="I1116" s="243"/>
      <c r="J1116" s="243"/>
      <c r="K1116" s="243"/>
      <c r="L1116" s="243"/>
      <c r="M1116" s="243"/>
    </row>
    <row r="1117" spans="1:13" x14ac:dyDescent="0.2">
      <c r="A1117" s="835">
        <v>24911</v>
      </c>
      <c r="B1117" s="808" t="s">
        <v>1604</v>
      </c>
      <c r="C1117" s="927"/>
      <c r="D1117" s="1055">
        <f>'[15]Input Sheet'!Q435</f>
        <v>3.2973918999999997E-2</v>
      </c>
      <c r="F1117" s="911">
        <v>0.15990193999999999</v>
      </c>
      <c r="G1117" s="243"/>
      <c r="H1117" s="243"/>
      <c r="I1117" s="243"/>
      <c r="J1117" s="243"/>
      <c r="K1117" s="243"/>
      <c r="L1117" s="243"/>
      <c r="M1117" s="243"/>
    </row>
    <row r="1118" spans="1:13" x14ac:dyDescent="0.2">
      <c r="A1118" s="835">
        <v>24912</v>
      </c>
      <c r="B1118" s="808" t="s">
        <v>1605</v>
      </c>
      <c r="C1118" s="927"/>
      <c r="D1118" s="1055">
        <f>'[15]Input Sheet'!Q436</f>
        <v>0</v>
      </c>
      <c r="F1118" s="911">
        <v>0</v>
      </c>
      <c r="G1118" s="243"/>
      <c r="H1118" s="243"/>
      <c r="I1118" s="243"/>
      <c r="J1118" s="243"/>
      <c r="K1118" s="243"/>
      <c r="L1118" s="243"/>
      <c r="M1118" s="243"/>
    </row>
    <row r="1119" spans="1:13" x14ac:dyDescent="0.2">
      <c r="A1119" s="835">
        <v>24913</v>
      </c>
      <c r="B1119" s="808" t="s">
        <v>1606</v>
      </c>
      <c r="C1119" s="927"/>
      <c r="D1119" s="1055">
        <f>'[15]Input Sheet'!Q437</f>
        <v>9.0094999999999997E-4</v>
      </c>
      <c r="F1119" s="911">
        <v>9.6584999999999998E-4</v>
      </c>
      <c r="G1119" s="243"/>
      <c r="H1119" s="243"/>
      <c r="I1119" s="243"/>
      <c r="J1119" s="243"/>
      <c r="K1119" s="243"/>
      <c r="L1119" s="243"/>
      <c r="M1119" s="243"/>
    </row>
    <row r="1120" spans="1:13" x14ac:dyDescent="0.2">
      <c r="A1120" s="835">
        <v>24914</v>
      </c>
      <c r="B1120" s="808" t="s">
        <v>1607</v>
      </c>
      <c r="C1120" s="927"/>
      <c r="D1120" s="1055">
        <f>'[15]Input Sheet'!Q438</f>
        <v>0</v>
      </c>
      <c r="F1120" s="911">
        <v>0</v>
      </c>
      <c r="G1120" s="243"/>
      <c r="H1120" s="243"/>
      <c r="I1120" s="243"/>
      <c r="J1120" s="243"/>
      <c r="K1120" s="243"/>
      <c r="L1120" s="243"/>
      <c r="M1120" s="243"/>
    </row>
    <row r="1121" spans="1:13" x14ac:dyDescent="0.2">
      <c r="A1121" s="835">
        <v>24916</v>
      </c>
      <c r="B1121" s="808" t="s">
        <v>1608</v>
      </c>
      <c r="C1121" s="927"/>
      <c r="D1121" s="1055">
        <f>'[15]Input Sheet'!Q439</f>
        <v>0</v>
      </c>
      <c r="F1121" s="911">
        <v>0</v>
      </c>
      <c r="G1121" s="243"/>
      <c r="H1121" s="243"/>
      <c r="I1121" s="243"/>
      <c r="J1121" s="243"/>
      <c r="K1121" s="243"/>
      <c r="L1121" s="243"/>
      <c r="M1121" s="243"/>
    </row>
    <row r="1122" spans="1:13" x14ac:dyDescent="0.2">
      <c r="A1122" s="835">
        <v>24917</v>
      </c>
      <c r="B1122" s="808" t="s">
        <v>1609</v>
      </c>
      <c r="C1122" s="927"/>
      <c r="D1122" s="1055">
        <f>'[15]Input Sheet'!Q440</f>
        <v>0</v>
      </c>
      <c r="F1122" s="911">
        <v>0</v>
      </c>
      <c r="G1122" s="243"/>
      <c r="H1122" s="243"/>
      <c r="I1122" s="243"/>
      <c r="J1122" s="243"/>
      <c r="K1122" s="243"/>
      <c r="L1122" s="243"/>
      <c r="M1122" s="243"/>
    </row>
    <row r="1123" spans="1:13" x14ac:dyDescent="0.2">
      <c r="A1123" s="835">
        <v>24918</v>
      </c>
      <c r="B1123" s="808" t="s">
        <v>1610</v>
      </c>
      <c r="C1123" s="927"/>
      <c r="D1123" s="1055">
        <f>'[15]Input Sheet'!Q441</f>
        <v>3.6376870000000001E-3</v>
      </c>
      <c r="F1123" s="911">
        <v>1.492887E-3</v>
      </c>
      <c r="G1123" s="243"/>
      <c r="H1123" s="243"/>
      <c r="I1123" s="243"/>
      <c r="J1123" s="243"/>
      <c r="K1123" s="243"/>
      <c r="L1123" s="243"/>
      <c r="M1123" s="243"/>
    </row>
    <row r="1124" spans="1:13" x14ac:dyDescent="0.2">
      <c r="A1124" s="835">
        <v>24919</v>
      </c>
      <c r="B1124" s="808" t="s">
        <v>1611</v>
      </c>
      <c r="C1124" s="927"/>
      <c r="D1124" s="1055">
        <f>'[15]Input Sheet'!Q442</f>
        <v>0</v>
      </c>
      <c r="F1124" s="911">
        <v>0</v>
      </c>
      <c r="G1124" s="243"/>
      <c r="H1124" s="243"/>
      <c r="I1124" s="243"/>
      <c r="J1124" s="243"/>
      <c r="K1124" s="243"/>
      <c r="L1124" s="243"/>
      <c r="M1124" s="243"/>
    </row>
    <row r="1125" spans="1:13" x14ac:dyDescent="0.2">
      <c r="A1125" s="835">
        <v>24921</v>
      </c>
      <c r="B1125" s="808" t="s">
        <v>1612</v>
      </c>
      <c r="C1125" s="927"/>
      <c r="D1125" s="1055">
        <f>'[15]Input Sheet'!Q444</f>
        <v>8.7385899999999992E-3</v>
      </c>
      <c r="F1125" s="911">
        <v>8.7385899999999992E-3</v>
      </c>
      <c r="G1125" s="243"/>
      <c r="H1125" s="243"/>
      <c r="I1125" s="243"/>
      <c r="J1125" s="243"/>
      <c r="K1125" s="243"/>
      <c r="L1125" s="243"/>
      <c r="M1125" s="243"/>
    </row>
    <row r="1126" spans="1:13" x14ac:dyDescent="0.2">
      <c r="A1126" s="835">
        <v>24922</v>
      </c>
      <c r="B1126" s="808" t="s">
        <v>1613</v>
      </c>
      <c r="C1126" s="927"/>
      <c r="D1126" s="1055">
        <f>'[15]Input Sheet'!Q445</f>
        <v>-8.7385899999999992E-3</v>
      </c>
      <c r="F1126" s="911">
        <v>-8.7385899999999992E-3</v>
      </c>
      <c r="G1126" s="243"/>
      <c r="H1126" s="243"/>
      <c r="I1126" s="243"/>
      <c r="J1126" s="243"/>
      <c r="K1126" s="243"/>
      <c r="L1126" s="243"/>
      <c r="M1126" s="243"/>
    </row>
    <row r="1127" spans="1:13" x14ac:dyDescent="0.2">
      <c r="A1127" s="835">
        <v>24926</v>
      </c>
      <c r="B1127" s="808" t="s">
        <v>1614</v>
      </c>
      <c r="C1127" s="927"/>
      <c r="D1127" s="1055">
        <f>'[15]Input Sheet'!Q446</f>
        <v>0</v>
      </c>
      <c r="F1127" s="911">
        <v>0</v>
      </c>
      <c r="G1127" s="243"/>
      <c r="H1127" s="243"/>
      <c r="I1127" s="243"/>
      <c r="J1127" s="243"/>
      <c r="K1127" s="243"/>
      <c r="L1127" s="243"/>
      <c r="M1127" s="243"/>
    </row>
    <row r="1128" spans="1:13" x14ac:dyDescent="0.2">
      <c r="A1128" s="835">
        <v>24927</v>
      </c>
      <c r="B1128" s="808" t="s">
        <v>1615</v>
      </c>
      <c r="C1128" s="927"/>
      <c r="D1128" s="1055">
        <f>'[15]Input Sheet'!Q447</f>
        <v>0</v>
      </c>
      <c r="F1128" s="911">
        <v>0</v>
      </c>
      <c r="G1128" s="243"/>
      <c r="H1128" s="243"/>
      <c r="I1128" s="243"/>
      <c r="J1128" s="243"/>
      <c r="K1128" s="243"/>
      <c r="L1128" s="243"/>
      <c r="M1128" s="243"/>
    </row>
    <row r="1129" spans="1:13" x14ac:dyDescent="0.2">
      <c r="A1129" s="835">
        <v>24928</v>
      </c>
      <c r="B1129" s="808" t="s">
        <v>1616</v>
      </c>
      <c r="C1129" s="927"/>
      <c r="D1129" s="1055">
        <f>'[15]Input Sheet'!Q448</f>
        <v>0</v>
      </c>
      <c r="F1129" s="911">
        <v>0</v>
      </c>
      <c r="G1129" s="243"/>
      <c r="H1129" s="243"/>
      <c r="I1129" s="243"/>
      <c r="J1129" s="243"/>
      <c r="K1129" s="243"/>
      <c r="L1129" s="243"/>
      <c r="M1129" s="243"/>
    </row>
    <row r="1130" spans="1:13" x14ac:dyDescent="0.2">
      <c r="A1130" s="835">
        <v>24929</v>
      </c>
      <c r="B1130" s="808" t="s">
        <v>1617</v>
      </c>
      <c r="C1130" s="927"/>
      <c r="D1130" s="1055">
        <f>'[15]Input Sheet'!Q449</f>
        <v>0</v>
      </c>
      <c r="F1130" s="911">
        <v>0</v>
      </c>
      <c r="G1130" s="243"/>
      <c r="H1130" s="243"/>
      <c r="I1130" s="243"/>
      <c r="J1130" s="243"/>
      <c r="K1130" s="243"/>
      <c r="L1130" s="243"/>
      <c r="M1130" s="243"/>
    </row>
    <row r="1131" spans="1:13" x14ac:dyDescent="0.2">
      <c r="A1131" s="835">
        <v>24931</v>
      </c>
      <c r="B1131" s="808" t="s">
        <v>1618</v>
      </c>
      <c r="C1131" s="927"/>
      <c r="D1131" s="1055">
        <f>'[15]Input Sheet'!Q451</f>
        <v>0.16874383500000001</v>
      </c>
      <c r="F1131" s="911">
        <v>6.2560088E-2</v>
      </c>
      <c r="G1131" s="243"/>
      <c r="H1131" s="243"/>
      <c r="I1131" s="243"/>
      <c r="J1131" s="243"/>
      <c r="K1131" s="243"/>
      <c r="L1131" s="243"/>
      <c r="M1131" s="243"/>
    </row>
    <row r="1132" spans="1:13" x14ac:dyDescent="0.2">
      <c r="A1132" s="835">
        <v>24932</v>
      </c>
      <c r="B1132" s="808" t="s">
        <v>1619</v>
      </c>
      <c r="C1132" s="927"/>
      <c r="D1132" s="1055">
        <f>'[15]Input Sheet'!Q452</f>
        <v>-1.56968E-2</v>
      </c>
      <c r="F1132" s="911">
        <v>-5.0077000000000003E-3</v>
      </c>
      <c r="G1132" s="243"/>
      <c r="H1132" s="243"/>
      <c r="I1132" s="243"/>
      <c r="J1132" s="243"/>
      <c r="K1132" s="243"/>
      <c r="L1132" s="243"/>
      <c r="M1132" s="243"/>
    </row>
    <row r="1133" spans="1:13" x14ac:dyDescent="0.2">
      <c r="A1133" s="835">
        <v>24936</v>
      </c>
      <c r="B1133" s="808" t="s">
        <v>1620</v>
      </c>
      <c r="C1133" s="927"/>
      <c r="D1133" s="1055">
        <f>'[15]Input Sheet'!Q453</f>
        <v>0</v>
      </c>
      <c r="F1133" s="911">
        <v>0</v>
      </c>
      <c r="G1133" s="243"/>
      <c r="H1133" s="243"/>
      <c r="I1133" s="243"/>
      <c r="J1133" s="243"/>
      <c r="K1133" s="243"/>
      <c r="L1133" s="243"/>
      <c r="M1133" s="243"/>
    </row>
    <row r="1134" spans="1:13" x14ac:dyDescent="0.2">
      <c r="A1134" s="835">
        <v>24937</v>
      </c>
      <c r="B1134" s="808" t="s">
        <v>1621</v>
      </c>
      <c r="C1134" s="927"/>
      <c r="D1134" s="1055">
        <f>'[15]Input Sheet'!Q454</f>
        <v>0</v>
      </c>
      <c r="F1134" s="911">
        <v>0</v>
      </c>
      <c r="G1134" s="243"/>
      <c r="H1134" s="243"/>
      <c r="I1134" s="243"/>
      <c r="J1134" s="243"/>
      <c r="K1134" s="243"/>
      <c r="L1134" s="243"/>
      <c r="M1134" s="243"/>
    </row>
    <row r="1135" spans="1:13" x14ac:dyDescent="0.2">
      <c r="A1135" s="835">
        <v>24938</v>
      </c>
      <c r="B1135" s="808" t="s">
        <v>1622</v>
      </c>
      <c r="C1135" s="927"/>
      <c r="D1135" s="1055">
        <f>'[15]Input Sheet'!Q455</f>
        <v>0</v>
      </c>
      <c r="F1135" s="911">
        <v>0</v>
      </c>
      <c r="G1135" s="243"/>
      <c r="H1135" s="243"/>
      <c r="I1135" s="243"/>
      <c r="J1135" s="243"/>
      <c r="K1135" s="243"/>
      <c r="L1135" s="243"/>
      <c r="M1135" s="243"/>
    </row>
    <row r="1136" spans="1:13" x14ac:dyDescent="0.2">
      <c r="A1136" s="835">
        <v>24939</v>
      </c>
      <c r="B1136" s="808" t="s">
        <v>1623</v>
      </c>
      <c r="C1136" s="927"/>
      <c r="D1136" s="1055">
        <f>'[15]Input Sheet'!Q456</f>
        <v>9.2730000000000004E-4</v>
      </c>
      <c r="F1136" s="911">
        <v>1.4149E-3</v>
      </c>
      <c r="G1136" s="243"/>
      <c r="H1136" s="243"/>
      <c r="I1136" s="243"/>
      <c r="J1136" s="243"/>
      <c r="K1136" s="243"/>
      <c r="L1136" s="243"/>
      <c r="M1136" s="243"/>
    </row>
    <row r="1137" spans="1:13" x14ac:dyDescent="0.2">
      <c r="A1137" s="835">
        <v>24941</v>
      </c>
      <c r="B1137" s="808" t="s">
        <v>1624</v>
      </c>
      <c r="C1137" s="927"/>
      <c r="D1137" s="1055">
        <f>'[15]Input Sheet'!Q458</f>
        <v>1.2599194000000001E-2</v>
      </c>
      <c r="F1137" s="911">
        <v>1.3186694000000001E-2</v>
      </c>
      <c r="G1137" s="243"/>
      <c r="H1137" s="243"/>
      <c r="I1137" s="243"/>
      <c r="J1137" s="243"/>
      <c r="K1137" s="243"/>
      <c r="L1137" s="243"/>
      <c r="M1137" s="243"/>
    </row>
    <row r="1138" spans="1:13" x14ac:dyDescent="0.2">
      <c r="A1138" s="835">
        <v>24942</v>
      </c>
      <c r="B1138" s="808" t="s">
        <v>1625</v>
      </c>
      <c r="C1138" s="927"/>
      <c r="D1138" s="1055">
        <f>'[15]Input Sheet'!Q459</f>
        <v>0</v>
      </c>
      <c r="F1138" s="911">
        <v>0</v>
      </c>
      <c r="G1138" s="243"/>
      <c r="H1138" s="243"/>
      <c r="I1138" s="243"/>
      <c r="J1138" s="243"/>
      <c r="K1138" s="243"/>
      <c r="L1138" s="243"/>
      <c r="M1138" s="243"/>
    </row>
    <row r="1139" spans="1:13" x14ac:dyDescent="0.2">
      <c r="A1139" s="835">
        <v>24946</v>
      </c>
      <c r="B1139" s="808" t="s">
        <v>1626</v>
      </c>
      <c r="C1139" s="927"/>
      <c r="D1139" s="1055">
        <f>'[15]Input Sheet'!Q460</f>
        <v>0</v>
      </c>
      <c r="F1139" s="911">
        <v>0</v>
      </c>
      <c r="G1139" s="243"/>
      <c r="H1139" s="243"/>
      <c r="I1139" s="243"/>
      <c r="J1139" s="243"/>
      <c r="K1139" s="243"/>
      <c r="L1139" s="243"/>
      <c r="M1139" s="243"/>
    </row>
    <row r="1140" spans="1:13" x14ac:dyDescent="0.2">
      <c r="A1140" s="835">
        <v>24947</v>
      </c>
      <c r="B1140" s="808" t="s">
        <v>1627</v>
      </c>
      <c r="C1140" s="927"/>
      <c r="D1140" s="1055">
        <f>'[15]Input Sheet'!Q461</f>
        <v>0</v>
      </c>
      <c r="F1140" s="911">
        <v>0</v>
      </c>
      <c r="G1140" s="243"/>
      <c r="H1140" s="243"/>
      <c r="I1140" s="243"/>
      <c r="J1140" s="243"/>
      <c r="K1140" s="243"/>
      <c r="L1140" s="243"/>
      <c r="M1140" s="243"/>
    </row>
    <row r="1141" spans="1:13" x14ac:dyDescent="0.2">
      <c r="A1141" s="835">
        <v>24948</v>
      </c>
      <c r="B1141" s="808" t="s">
        <v>1628</v>
      </c>
      <c r="C1141" s="927"/>
      <c r="D1141" s="1055">
        <f>'[15]Input Sheet'!Q462</f>
        <v>9.4684999999999995E-4</v>
      </c>
      <c r="F1141" s="911">
        <v>1.15335E-3</v>
      </c>
      <c r="G1141" s="243"/>
      <c r="H1141" s="243"/>
      <c r="I1141" s="243"/>
      <c r="J1141" s="243"/>
      <c r="K1141" s="243"/>
      <c r="L1141" s="243"/>
      <c r="M1141" s="243"/>
    </row>
    <row r="1142" spans="1:13" x14ac:dyDescent="0.2">
      <c r="A1142" s="835">
        <v>24949</v>
      </c>
      <c r="B1142" s="808" t="s">
        <v>1629</v>
      </c>
      <c r="C1142" s="927"/>
      <c r="D1142" s="1055">
        <f>'[15]Input Sheet'!Q463</f>
        <v>0</v>
      </c>
      <c r="F1142" s="911">
        <v>0</v>
      </c>
      <c r="G1142" s="243"/>
      <c r="H1142" s="243"/>
      <c r="I1142" s="243"/>
      <c r="J1142" s="243"/>
      <c r="K1142" s="243"/>
      <c r="L1142" s="243"/>
      <c r="M1142" s="243"/>
    </row>
    <row r="1143" spans="1:13" x14ac:dyDescent="0.2">
      <c r="A1143" s="835">
        <v>24951</v>
      </c>
      <c r="B1143" s="808" t="s">
        <v>1630</v>
      </c>
      <c r="C1143" s="927"/>
      <c r="D1143" s="1055">
        <f>'[15]Input Sheet'!Q465</f>
        <v>9.5643973999999993E-2</v>
      </c>
      <c r="F1143" s="911">
        <v>0.61610948499999996</v>
      </c>
      <c r="G1143" s="243"/>
      <c r="H1143" s="243"/>
      <c r="I1143" s="243"/>
      <c r="J1143" s="243"/>
      <c r="K1143" s="243"/>
      <c r="L1143" s="243"/>
      <c r="M1143" s="243"/>
    </row>
    <row r="1144" spans="1:13" x14ac:dyDescent="0.2">
      <c r="A1144" s="835">
        <v>24952</v>
      </c>
      <c r="B1144" s="808" t="s">
        <v>1631</v>
      </c>
      <c r="C1144" s="927"/>
      <c r="D1144" s="1055">
        <f>'[15]Input Sheet'!Q466</f>
        <v>0</v>
      </c>
      <c r="F1144" s="911">
        <v>-2.4304000000000001E-3</v>
      </c>
      <c r="G1144" s="243"/>
      <c r="H1144" s="243"/>
      <c r="I1144" s="243"/>
      <c r="J1144" s="243"/>
      <c r="K1144" s="243"/>
      <c r="L1144" s="243"/>
      <c r="M1144" s="243"/>
    </row>
    <row r="1145" spans="1:13" x14ac:dyDescent="0.2">
      <c r="A1145" s="835">
        <v>24956</v>
      </c>
      <c r="B1145" s="808" t="s">
        <v>1632</v>
      </c>
      <c r="C1145" s="927"/>
      <c r="D1145" s="1055">
        <f>'[15]Input Sheet'!Q467</f>
        <v>0</v>
      </c>
      <c r="F1145" s="911">
        <v>0</v>
      </c>
      <c r="G1145" s="243"/>
      <c r="H1145" s="243"/>
      <c r="I1145" s="243"/>
      <c r="J1145" s="243"/>
      <c r="K1145" s="243"/>
      <c r="L1145" s="243"/>
      <c r="M1145" s="243"/>
    </row>
    <row r="1146" spans="1:13" x14ac:dyDescent="0.2">
      <c r="A1146" s="835">
        <v>24957</v>
      </c>
      <c r="B1146" s="808" t="s">
        <v>1633</v>
      </c>
      <c r="C1146" s="927"/>
      <c r="D1146" s="1055">
        <f>'[15]Input Sheet'!Q468</f>
        <v>0</v>
      </c>
      <c r="F1146" s="911">
        <v>0</v>
      </c>
      <c r="G1146" s="243"/>
      <c r="H1146" s="243"/>
      <c r="I1146" s="243"/>
      <c r="J1146" s="243"/>
      <c r="K1146" s="243"/>
      <c r="L1146" s="243"/>
      <c r="M1146" s="243"/>
    </row>
    <row r="1147" spans="1:13" x14ac:dyDescent="0.2">
      <c r="A1147" s="835">
        <v>24961</v>
      </c>
      <c r="B1147" s="808" t="s">
        <v>1634</v>
      </c>
      <c r="C1147" s="927"/>
      <c r="D1147" s="1055">
        <f>'[15]Input Sheet'!Q470</f>
        <v>1.2762889999999999E-2</v>
      </c>
      <c r="F1147" s="911">
        <v>3.0927404999999998E-2</v>
      </c>
      <c r="G1147" s="243"/>
      <c r="H1147" s="243"/>
      <c r="I1147" s="243"/>
      <c r="J1147" s="243"/>
      <c r="K1147" s="243"/>
      <c r="L1147" s="243"/>
      <c r="M1147" s="243"/>
    </row>
    <row r="1148" spans="1:13" x14ac:dyDescent="0.2">
      <c r="A1148" s="835">
        <v>24962</v>
      </c>
      <c r="B1148" s="808" t="s">
        <v>1635</v>
      </c>
      <c r="C1148" s="927"/>
      <c r="D1148" s="1055">
        <f>'[15]Input Sheet'!Q471</f>
        <v>0</v>
      </c>
      <c r="F1148" s="911">
        <v>-1.225E-4</v>
      </c>
      <c r="H1148" s="243"/>
      <c r="I1148" s="243"/>
      <c r="J1148" s="243"/>
      <c r="K1148" s="243"/>
      <c r="L1148" s="243"/>
      <c r="M1148" s="243"/>
    </row>
    <row r="1149" spans="1:13" x14ac:dyDescent="0.2">
      <c r="A1149" s="835">
        <v>24971</v>
      </c>
      <c r="B1149" s="808" t="s">
        <v>1636</v>
      </c>
      <c r="C1149" s="927"/>
      <c r="D1149" s="1055">
        <f>'[15]Input Sheet'!Q472</f>
        <v>5.8097800000000001E-4</v>
      </c>
      <c r="F1149" s="911">
        <v>5.8097800000000001E-4</v>
      </c>
      <c r="H1149" s="243"/>
      <c r="I1149" s="243"/>
      <c r="J1149" s="243"/>
      <c r="K1149" s="243"/>
      <c r="L1149" s="243"/>
      <c r="M1149" s="243"/>
    </row>
    <row r="1150" spans="1:13" x14ac:dyDescent="0.2">
      <c r="A1150" s="835">
        <v>24972</v>
      </c>
      <c r="B1150" s="808" t="s">
        <v>1637</v>
      </c>
      <c r="C1150" s="927"/>
      <c r="D1150" s="1055">
        <f>'[15]Input Sheet'!Q473</f>
        <v>0</v>
      </c>
      <c r="F1150" s="911">
        <v>0</v>
      </c>
      <c r="H1150" s="243"/>
      <c r="I1150" s="243"/>
      <c r="J1150" s="243"/>
      <c r="K1150" s="243"/>
      <c r="L1150" s="243"/>
      <c r="M1150" s="243"/>
    </row>
    <row r="1151" spans="1:13" x14ac:dyDescent="0.2">
      <c r="A1151" s="835">
        <v>24981</v>
      </c>
      <c r="B1151" s="808" t="s">
        <v>1638</v>
      </c>
      <c r="C1151" s="927"/>
      <c r="D1151" s="1055">
        <f>'[15]Input Sheet'!Q474</f>
        <v>6.7635649999999992E-3</v>
      </c>
      <c r="F1151" s="911">
        <v>9.3382650000000001E-3</v>
      </c>
      <c r="H1151" s="243"/>
      <c r="I1151" s="243"/>
      <c r="J1151" s="243"/>
      <c r="K1151" s="243"/>
      <c r="L1151" s="243"/>
      <c r="M1151" s="243"/>
    </row>
    <row r="1152" spans="1:13" x14ac:dyDescent="0.2">
      <c r="A1152" s="835">
        <v>24982</v>
      </c>
      <c r="B1152" s="808" t="s">
        <v>1639</v>
      </c>
      <c r="C1152" s="927"/>
      <c r="D1152" s="1055">
        <f>'[15]Input Sheet'!Q475</f>
        <v>0</v>
      </c>
      <c r="F1152" s="911">
        <v>-8.3774000000000001E-3</v>
      </c>
      <c r="H1152" s="243"/>
      <c r="I1152" s="243"/>
      <c r="J1152" s="243"/>
      <c r="K1152" s="243"/>
      <c r="L1152" s="243"/>
      <c r="M1152" s="243"/>
    </row>
    <row r="1153" spans="1:13" x14ac:dyDescent="0.2">
      <c r="A1153" s="835">
        <v>24984</v>
      </c>
      <c r="B1153" s="808" t="s">
        <v>1640</v>
      </c>
      <c r="C1153" s="927"/>
      <c r="D1153" s="1060">
        <f>'[15]Input Sheet'!Q476</f>
        <v>1.5916649999999999E-3</v>
      </c>
      <c r="F1153" s="1054">
        <v>1.526765E-3</v>
      </c>
      <c r="H1153" s="243"/>
      <c r="I1153" s="243"/>
      <c r="J1153" s="243"/>
      <c r="K1153" s="243"/>
      <c r="L1153" s="243"/>
      <c r="M1153" s="243"/>
    </row>
    <row r="1154" spans="1:13" x14ac:dyDescent="0.2">
      <c r="B1154" s="808" t="s">
        <v>9</v>
      </c>
      <c r="C1154" s="927"/>
      <c r="D1154" s="1006">
        <f>SUM(D863:D1153)</f>
        <v>6.8380321949999985</v>
      </c>
      <c r="F1154" s="1006">
        <f>SUM(F863:F1153)</f>
        <v>263.66342570199998</v>
      </c>
      <c r="H1154" s="243"/>
      <c r="I1154" s="243"/>
      <c r="J1154" s="243"/>
      <c r="K1154" s="243"/>
      <c r="L1154" s="243"/>
      <c r="M1154" s="243"/>
    </row>
    <row r="1155" spans="1:13" x14ac:dyDescent="0.2">
      <c r="C1155" s="927"/>
      <c r="D1155" s="927"/>
      <c r="H1155" s="243"/>
      <c r="I1155" s="243"/>
      <c r="J1155" s="243"/>
      <c r="K1155" s="243"/>
      <c r="L1155" s="243"/>
      <c r="M1155" s="243"/>
    </row>
    <row r="1156" spans="1:13" x14ac:dyDescent="0.2">
      <c r="C1156" s="927"/>
      <c r="D1156" s="927"/>
      <c r="H1156" s="243"/>
      <c r="I1156" s="243"/>
      <c r="J1156" s="243"/>
      <c r="K1156" s="243"/>
      <c r="L1156" s="243"/>
      <c r="M1156" s="243"/>
    </row>
    <row r="1157" spans="1:13" x14ac:dyDescent="0.2">
      <c r="C1157" s="927"/>
      <c r="D1157" s="1956" t="str">
        <f>C3</f>
        <v>31.03.2024</v>
      </c>
      <c r="E1157" s="1956"/>
      <c r="F1157" s="1956" t="str">
        <f>E3</f>
        <v>31.03.2023 (RESTATED)</v>
      </c>
      <c r="G1157" s="1956"/>
      <c r="H1157" s="243"/>
      <c r="I1157" s="243"/>
      <c r="J1157" s="243"/>
      <c r="K1157" s="243"/>
      <c r="L1157" s="243"/>
      <c r="M1157" s="243"/>
    </row>
    <row r="1158" spans="1:13" x14ac:dyDescent="0.2">
      <c r="B1158" s="1061" t="s">
        <v>631</v>
      </c>
      <c r="C1158" s="1006"/>
      <c r="D1158" s="1062" t="s">
        <v>1641</v>
      </c>
      <c r="E1158" s="1062" t="s">
        <v>1642</v>
      </c>
      <c r="F1158" s="1062" t="s">
        <v>1641</v>
      </c>
      <c r="G1158" s="1062" t="s">
        <v>1642</v>
      </c>
      <c r="H1158" s="243"/>
      <c r="I1158" s="243"/>
      <c r="J1158" s="243"/>
      <c r="K1158" s="243"/>
      <c r="L1158" s="243"/>
      <c r="M1158" s="243"/>
    </row>
    <row r="1159" spans="1:13" x14ac:dyDescent="0.2">
      <c r="A1159" s="835">
        <v>53001</v>
      </c>
      <c r="B1159" s="808" t="s">
        <v>1643</v>
      </c>
      <c r="C1159" s="927"/>
      <c r="D1159" s="927">
        <f>'[15]Input Sheet'!Q765</f>
        <v>0</v>
      </c>
      <c r="E1159" s="927">
        <f>'[15]Input Sheet'!R765</f>
        <v>0</v>
      </c>
      <c r="F1159" s="911">
        <v>0</v>
      </c>
      <c r="G1159" s="836">
        <v>0</v>
      </c>
      <c r="H1159" s="243"/>
      <c r="I1159" s="243"/>
      <c r="J1159" s="243"/>
      <c r="K1159" s="243"/>
      <c r="L1159" s="243"/>
      <c r="M1159" s="243"/>
    </row>
    <row r="1160" spans="1:13" x14ac:dyDescent="0.2">
      <c r="A1160" s="835">
        <v>53002</v>
      </c>
      <c r="B1160" s="808" t="s">
        <v>1644</v>
      </c>
      <c r="C1160" s="927"/>
      <c r="D1160" s="927">
        <f>'[15]Input Sheet'!Q766</f>
        <v>0</v>
      </c>
      <c r="E1160" s="927">
        <f>'[15]Input Sheet'!R766</f>
        <v>0</v>
      </c>
      <c r="F1160" s="911">
        <v>0</v>
      </c>
      <c r="G1160" s="836">
        <v>0</v>
      </c>
      <c r="H1160" s="243"/>
      <c r="I1160" s="243"/>
      <c r="J1160" s="243"/>
      <c r="K1160" s="243"/>
      <c r="L1160" s="243"/>
      <c r="M1160" s="243"/>
    </row>
    <row r="1161" spans="1:13" x14ac:dyDescent="0.2">
      <c r="A1161" s="835">
        <v>53003</v>
      </c>
      <c r="B1161" s="808" t="s">
        <v>1645</v>
      </c>
      <c r="C1161" s="927"/>
      <c r="D1161" s="927">
        <f>'[15]Input Sheet'!Q767</f>
        <v>0</v>
      </c>
      <c r="E1161" s="927">
        <f>'[15]Input Sheet'!R767</f>
        <v>0</v>
      </c>
      <c r="F1161" s="911">
        <v>0</v>
      </c>
      <c r="G1161" s="836">
        <v>0</v>
      </c>
      <c r="H1161" s="243"/>
      <c r="I1161" s="243"/>
      <c r="J1161" s="243"/>
      <c r="K1161" s="243"/>
      <c r="L1161" s="243"/>
      <c r="M1161" s="243"/>
    </row>
    <row r="1162" spans="1:13" x14ac:dyDescent="0.2">
      <c r="A1162" s="835">
        <v>53004</v>
      </c>
      <c r="B1162" s="808" t="s">
        <v>1646</v>
      </c>
      <c r="C1162" s="927"/>
      <c r="D1162" s="927">
        <f>'[15]Input Sheet'!Q768</f>
        <v>0</v>
      </c>
      <c r="E1162" s="927">
        <f>'[15]Input Sheet'!R768</f>
        <v>162.99200020000001</v>
      </c>
      <c r="F1162" s="911">
        <v>355.61891580000002</v>
      </c>
      <c r="G1162" s="836">
        <v>444.52364619999997</v>
      </c>
      <c r="H1162" s="243"/>
      <c r="I1162" s="243"/>
      <c r="J1162" s="243"/>
      <c r="K1162" s="243"/>
      <c r="L1162" s="243"/>
      <c r="M1162" s="243"/>
    </row>
    <row r="1163" spans="1:13" x14ac:dyDescent="0.2">
      <c r="A1163" s="835">
        <v>53005</v>
      </c>
      <c r="B1163" s="808" t="s">
        <v>1647</v>
      </c>
      <c r="C1163" s="927"/>
      <c r="D1163" s="927">
        <f>'[15]Input Sheet'!Q769</f>
        <v>0</v>
      </c>
      <c r="E1163" s="927">
        <f>'[15]Input Sheet'!R769</f>
        <v>0</v>
      </c>
      <c r="F1163" s="911">
        <v>0</v>
      </c>
      <c r="G1163" s="836">
        <v>0</v>
      </c>
      <c r="H1163" s="243"/>
      <c r="I1163" s="243"/>
      <c r="J1163" s="243"/>
      <c r="K1163" s="243"/>
      <c r="L1163" s="243"/>
      <c r="M1163" s="243"/>
    </row>
    <row r="1164" spans="1:13" x14ac:dyDescent="0.2">
      <c r="A1164" s="835">
        <v>53006</v>
      </c>
      <c r="B1164" s="808" t="s">
        <v>1648</v>
      </c>
      <c r="C1164" s="927"/>
      <c r="D1164" s="927">
        <f>'[15]Input Sheet'!Q770</f>
        <v>0</v>
      </c>
      <c r="E1164" s="927">
        <f>'[15]Input Sheet'!R770</f>
        <v>0</v>
      </c>
      <c r="F1164" s="911">
        <v>0</v>
      </c>
      <c r="G1164" s="836">
        <v>0</v>
      </c>
      <c r="H1164" s="243"/>
      <c r="I1164" s="243"/>
      <c r="J1164" s="243"/>
      <c r="K1164" s="243"/>
      <c r="L1164" s="243"/>
      <c r="M1164" s="243"/>
    </row>
    <row r="1165" spans="1:13" x14ac:dyDescent="0.2">
      <c r="A1165" s="835">
        <v>53007</v>
      </c>
      <c r="B1165" s="808" t="s">
        <v>1649</v>
      </c>
      <c r="C1165" s="927"/>
      <c r="D1165" s="927">
        <f>'[15]Input Sheet'!Q771</f>
        <v>0</v>
      </c>
      <c r="E1165" s="927">
        <f>'[15]Input Sheet'!R771</f>
        <v>0</v>
      </c>
      <c r="F1165" s="911">
        <v>0</v>
      </c>
      <c r="G1165" s="836">
        <v>0</v>
      </c>
      <c r="H1165" s="243"/>
      <c r="I1165" s="243"/>
      <c r="J1165" s="243"/>
      <c r="K1165" s="243"/>
      <c r="L1165" s="243"/>
      <c r="M1165" s="243"/>
    </row>
    <row r="1166" spans="1:13" x14ac:dyDescent="0.2">
      <c r="A1166" s="835">
        <v>53008</v>
      </c>
      <c r="B1166" s="808" t="s">
        <v>1650</v>
      </c>
      <c r="C1166" s="927"/>
      <c r="D1166" s="927">
        <f>'[15]Input Sheet'!Q772</f>
        <v>0</v>
      </c>
      <c r="E1166" s="927">
        <f>'[15]Input Sheet'!R772</f>
        <v>0</v>
      </c>
      <c r="F1166" s="911">
        <v>0</v>
      </c>
      <c r="G1166" s="836">
        <v>0</v>
      </c>
      <c r="H1166" s="243"/>
      <c r="I1166" s="243"/>
      <c r="J1166" s="243"/>
      <c r="K1166" s="243"/>
      <c r="L1166" s="243"/>
      <c r="M1166" s="243"/>
    </row>
    <row r="1167" spans="1:13" x14ac:dyDescent="0.2">
      <c r="A1167" s="835">
        <v>53009</v>
      </c>
      <c r="B1167" s="808" t="s">
        <v>1651</v>
      </c>
      <c r="C1167" s="927"/>
      <c r="D1167" s="927">
        <f>'[15]Input Sheet'!Q773</f>
        <v>0</v>
      </c>
      <c r="E1167" s="927">
        <f>'[15]Input Sheet'!R773</f>
        <v>0</v>
      </c>
      <c r="F1167" s="911">
        <v>0</v>
      </c>
      <c r="G1167" s="836">
        <v>0</v>
      </c>
      <c r="H1167" s="243"/>
      <c r="I1167" s="243"/>
      <c r="J1167" s="243"/>
      <c r="K1167" s="243"/>
      <c r="L1167" s="243"/>
      <c r="M1167" s="243"/>
    </row>
    <row r="1168" spans="1:13" x14ac:dyDescent="0.2">
      <c r="A1168" s="835">
        <v>53010</v>
      </c>
      <c r="B1168" s="808" t="s">
        <v>1652</v>
      </c>
      <c r="C1168" s="927"/>
      <c r="D1168" s="927">
        <f>'[15]Input Sheet'!Q774</f>
        <v>0</v>
      </c>
      <c r="E1168" s="927">
        <f>'[15]Input Sheet'!R774</f>
        <v>0</v>
      </c>
      <c r="F1168" s="911">
        <v>0</v>
      </c>
      <c r="G1168" s="836">
        <v>0</v>
      </c>
      <c r="H1168" s="243"/>
      <c r="I1168" s="243"/>
      <c r="J1168" s="243"/>
      <c r="K1168" s="243"/>
      <c r="L1168" s="243"/>
      <c r="M1168" s="243"/>
    </row>
    <row r="1169" spans="1:13" x14ac:dyDescent="0.2">
      <c r="A1169" s="835">
        <v>53011</v>
      </c>
      <c r="B1169" s="808" t="s">
        <v>1653</v>
      </c>
      <c r="C1169" s="927"/>
      <c r="D1169" s="927">
        <f>'[15]Input Sheet'!Q775</f>
        <v>0</v>
      </c>
      <c r="E1169" s="927">
        <f>'[15]Input Sheet'!R775</f>
        <v>0</v>
      </c>
      <c r="F1169" s="911">
        <v>0</v>
      </c>
      <c r="G1169" s="836">
        <v>0</v>
      </c>
      <c r="H1169" s="243"/>
      <c r="I1169" s="243"/>
      <c r="J1169" s="243"/>
      <c r="K1169" s="243"/>
      <c r="L1169" s="243"/>
      <c r="M1169" s="243"/>
    </row>
    <row r="1170" spans="1:13" x14ac:dyDescent="0.2">
      <c r="A1170" s="835">
        <v>53012</v>
      </c>
      <c r="B1170" s="808" t="s">
        <v>1654</v>
      </c>
      <c r="C1170" s="927"/>
      <c r="D1170" s="927">
        <f>'[15]Input Sheet'!Q776</f>
        <v>0</v>
      </c>
      <c r="E1170" s="927">
        <f>'[15]Input Sheet'!R776</f>
        <v>0</v>
      </c>
      <c r="F1170" s="911">
        <v>0</v>
      </c>
      <c r="G1170" s="836">
        <v>0</v>
      </c>
      <c r="H1170" s="243"/>
      <c r="I1170" s="243"/>
      <c r="J1170" s="243"/>
      <c r="K1170" s="243"/>
      <c r="L1170" s="243"/>
      <c r="M1170" s="243"/>
    </row>
    <row r="1171" spans="1:13" x14ac:dyDescent="0.2">
      <c r="A1171" s="835">
        <v>53013</v>
      </c>
      <c r="B1171" s="808" t="s">
        <v>1655</v>
      </c>
      <c r="C1171" s="927"/>
      <c r="D1171" s="927">
        <f>'[15]Input Sheet'!Q777</f>
        <v>0</v>
      </c>
      <c r="E1171" s="927">
        <f>'[15]Input Sheet'!R777</f>
        <v>0</v>
      </c>
      <c r="F1171" s="911">
        <v>0</v>
      </c>
      <c r="G1171" s="836">
        <v>0</v>
      </c>
      <c r="H1171" s="243"/>
      <c r="I1171" s="243"/>
      <c r="J1171" s="243"/>
      <c r="K1171" s="243"/>
      <c r="L1171" s="243"/>
      <c r="M1171" s="243"/>
    </row>
    <row r="1172" spans="1:13" x14ac:dyDescent="0.2">
      <c r="A1172" s="835">
        <v>53014</v>
      </c>
      <c r="B1172" s="808" t="s">
        <v>1656</v>
      </c>
      <c r="C1172" s="927"/>
      <c r="D1172" s="927">
        <f>'[15]Input Sheet'!Q778</f>
        <v>0</v>
      </c>
      <c r="E1172" s="927">
        <f>'[15]Input Sheet'!R778</f>
        <v>0</v>
      </c>
      <c r="F1172" s="911">
        <v>0</v>
      </c>
      <c r="G1172" s="836">
        <v>0</v>
      </c>
      <c r="H1172" s="243"/>
      <c r="I1172" s="243"/>
      <c r="J1172" s="243"/>
      <c r="K1172" s="243"/>
      <c r="L1172" s="243"/>
      <c r="M1172" s="243"/>
    </row>
    <row r="1173" spans="1:13" x14ac:dyDescent="0.2">
      <c r="A1173" s="835">
        <v>53015</v>
      </c>
      <c r="B1173" s="808" t="s">
        <v>1657</v>
      </c>
      <c r="C1173" s="927"/>
      <c r="D1173" s="927">
        <f>'[15]Input Sheet'!Q779</f>
        <v>0</v>
      </c>
      <c r="E1173" s="927">
        <f>'[15]Input Sheet'!R779</f>
        <v>0</v>
      </c>
      <c r="F1173" s="911">
        <v>0</v>
      </c>
      <c r="G1173" s="836">
        <v>0</v>
      </c>
      <c r="H1173" s="243"/>
      <c r="I1173" s="243"/>
      <c r="J1173" s="243"/>
      <c r="K1173" s="243"/>
      <c r="L1173" s="243"/>
      <c r="M1173" s="243"/>
    </row>
    <row r="1174" spans="1:13" x14ac:dyDescent="0.2">
      <c r="A1174" s="835">
        <v>53016</v>
      </c>
      <c r="B1174" s="808" t="s">
        <v>1658</v>
      </c>
      <c r="C1174" s="927"/>
      <c r="D1174" s="927">
        <f>'[15]Input Sheet'!Q780</f>
        <v>0</v>
      </c>
      <c r="E1174" s="927">
        <f>'[15]Input Sheet'!R780</f>
        <v>0</v>
      </c>
      <c r="F1174" s="911">
        <v>0</v>
      </c>
      <c r="G1174" s="836">
        <v>0</v>
      </c>
      <c r="H1174" s="243"/>
      <c r="I1174" s="243"/>
      <c r="J1174" s="243"/>
      <c r="K1174" s="243"/>
      <c r="L1174" s="243"/>
      <c r="M1174" s="243"/>
    </row>
    <row r="1175" spans="1:13" x14ac:dyDescent="0.2">
      <c r="A1175" s="835">
        <v>53017</v>
      </c>
      <c r="B1175" s="808" t="s">
        <v>1659</v>
      </c>
      <c r="C1175" s="927"/>
      <c r="D1175" s="927">
        <f>'[15]Input Sheet'!Q781</f>
        <v>0</v>
      </c>
      <c r="E1175" s="927">
        <f>'[15]Input Sheet'!R781</f>
        <v>0</v>
      </c>
      <c r="F1175" s="911">
        <v>0</v>
      </c>
      <c r="G1175" s="836">
        <v>0</v>
      </c>
      <c r="H1175" s="243"/>
      <c r="I1175" s="243"/>
      <c r="J1175" s="243"/>
      <c r="K1175" s="243"/>
      <c r="L1175" s="243"/>
      <c r="M1175" s="243"/>
    </row>
    <row r="1176" spans="1:13" x14ac:dyDescent="0.2">
      <c r="A1176" s="835">
        <v>53018</v>
      </c>
      <c r="B1176" s="808" t="s">
        <v>1660</v>
      </c>
      <c r="C1176" s="927"/>
      <c r="D1176" s="927">
        <f>'[15]Input Sheet'!Q782</f>
        <v>0</v>
      </c>
      <c r="E1176" s="927">
        <f>'[15]Input Sheet'!R782</f>
        <v>0</v>
      </c>
      <c r="F1176" s="911">
        <v>0</v>
      </c>
      <c r="G1176" s="836">
        <v>0</v>
      </c>
      <c r="H1176" s="243"/>
      <c r="I1176" s="243"/>
      <c r="J1176" s="243"/>
      <c r="K1176" s="243"/>
      <c r="L1176" s="243"/>
      <c r="M1176" s="243"/>
    </row>
    <row r="1177" spans="1:13" x14ac:dyDescent="0.2">
      <c r="A1177" s="835">
        <v>53019</v>
      </c>
      <c r="B1177" s="808" t="s">
        <v>1661</v>
      </c>
      <c r="C1177" s="927"/>
      <c r="D1177" s="927">
        <f>'[15]Input Sheet'!Q783</f>
        <v>0</v>
      </c>
      <c r="E1177" s="927">
        <f>'[15]Input Sheet'!R783</f>
        <v>0</v>
      </c>
      <c r="F1177" s="911">
        <v>0</v>
      </c>
      <c r="G1177" s="836">
        <v>0</v>
      </c>
      <c r="H1177" s="243"/>
      <c r="I1177" s="243"/>
      <c r="J1177" s="243"/>
      <c r="K1177" s="243"/>
      <c r="L1177" s="243"/>
      <c r="M1177" s="243"/>
    </row>
    <row r="1178" spans="1:13" x14ac:dyDescent="0.2">
      <c r="A1178" s="835">
        <v>53020</v>
      </c>
      <c r="B1178" s="808" t="s">
        <v>1662</v>
      </c>
      <c r="C1178" s="927"/>
      <c r="D1178" s="927">
        <f>'[15]Input Sheet'!Q784</f>
        <v>0</v>
      </c>
      <c r="E1178" s="927">
        <f>'[15]Input Sheet'!R784</f>
        <v>0</v>
      </c>
      <c r="F1178" s="911">
        <v>0</v>
      </c>
      <c r="G1178" s="836">
        <v>0</v>
      </c>
      <c r="H1178" s="243"/>
      <c r="I1178" s="243"/>
      <c r="J1178" s="243"/>
      <c r="K1178" s="243"/>
      <c r="L1178" s="243"/>
      <c r="M1178" s="243"/>
    </row>
    <row r="1179" spans="1:13" x14ac:dyDescent="0.2">
      <c r="A1179" s="835">
        <v>53021</v>
      </c>
      <c r="B1179" s="808" t="s">
        <v>1663</v>
      </c>
      <c r="C1179" s="927"/>
      <c r="D1179" s="927">
        <f>'[15]Input Sheet'!Q785</f>
        <v>0</v>
      </c>
      <c r="E1179" s="927">
        <f>'[15]Input Sheet'!R785</f>
        <v>0</v>
      </c>
      <c r="F1179" s="911">
        <v>0</v>
      </c>
      <c r="G1179" s="836">
        <v>0</v>
      </c>
      <c r="H1179" s="243"/>
      <c r="I1179" s="243"/>
      <c r="J1179" s="243"/>
      <c r="K1179" s="243"/>
      <c r="L1179" s="243"/>
      <c r="M1179" s="243"/>
    </row>
    <row r="1180" spans="1:13" x14ac:dyDescent="0.2">
      <c r="A1180" s="835">
        <v>53022</v>
      </c>
      <c r="B1180" s="808" t="s">
        <v>1664</v>
      </c>
      <c r="C1180" s="927"/>
      <c r="D1180" s="927">
        <f>'[15]Input Sheet'!Q786</f>
        <v>0</v>
      </c>
      <c r="E1180" s="927">
        <f>'[15]Input Sheet'!R786</f>
        <v>0</v>
      </c>
      <c r="F1180" s="911">
        <v>0</v>
      </c>
      <c r="G1180" s="836">
        <v>0.649922</v>
      </c>
      <c r="H1180" s="243"/>
      <c r="I1180" s="243"/>
      <c r="J1180" s="243"/>
      <c r="K1180" s="243"/>
      <c r="L1180" s="243"/>
      <c r="M1180" s="243"/>
    </row>
    <row r="1181" spans="1:13" x14ac:dyDescent="0.2">
      <c r="A1181" s="835">
        <v>53023</v>
      </c>
      <c r="B1181" s="808" t="s">
        <v>1665</v>
      </c>
      <c r="C1181" s="927"/>
      <c r="D1181" s="927">
        <f>'[15]Input Sheet'!Q787</f>
        <v>0</v>
      </c>
      <c r="E1181" s="927">
        <f>'[15]Input Sheet'!R787</f>
        <v>0</v>
      </c>
      <c r="F1181" s="911">
        <v>0</v>
      </c>
      <c r="G1181" s="836">
        <v>0.16552529999999999</v>
      </c>
      <c r="H1181" s="243"/>
      <c r="I1181" s="243"/>
      <c r="J1181" s="243"/>
      <c r="K1181" s="243"/>
      <c r="L1181" s="243"/>
      <c r="M1181" s="243"/>
    </row>
    <row r="1182" spans="1:13" x14ac:dyDescent="0.2">
      <c r="A1182" s="835">
        <v>53024</v>
      </c>
      <c r="B1182" s="808" t="s">
        <v>1666</v>
      </c>
      <c r="C1182" s="927"/>
      <c r="D1182" s="927">
        <f>'[15]Input Sheet'!Q788</f>
        <v>0</v>
      </c>
      <c r="E1182" s="927">
        <f>'[15]Input Sheet'!R788</f>
        <v>0</v>
      </c>
      <c r="F1182" s="911">
        <v>0</v>
      </c>
      <c r="G1182" s="836">
        <v>0.7099955</v>
      </c>
      <c r="H1182" s="243"/>
      <c r="I1182" s="243"/>
      <c r="J1182" s="243"/>
      <c r="K1182" s="243"/>
      <c r="L1182" s="243"/>
      <c r="M1182" s="243"/>
    </row>
    <row r="1183" spans="1:13" x14ac:dyDescent="0.2">
      <c r="A1183" s="835">
        <v>53025</v>
      </c>
      <c r="B1183" s="808" t="s">
        <v>1667</v>
      </c>
      <c r="C1183" s="927"/>
      <c r="D1183" s="927">
        <f>'[15]Input Sheet'!Q789</f>
        <v>0</v>
      </c>
      <c r="E1183" s="927">
        <f>'[15]Input Sheet'!R789</f>
        <v>0</v>
      </c>
      <c r="F1183" s="911">
        <v>0</v>
      </c>
      <c r="G1183" s="836">
        <v>1.0416700999999999</v>
      </c>
      <c r="H1183" s="243"/>
      <c r="I1183" s="243"/>
      <c r="J1183" s="243"/>
      <c r="K1183" s="243"/>
      <c r="L1183" s="243"/>
      <c r="M1183" s="243"/>
    </row>
    <row r="1184" spans="1:13" x14ac:dyDescent="0.2">
      <c r="A1184" s="835">
        <v>53026</v>
      </c>
      <c r="B1184" s="808" t="s">
        <v>1668</v>
      </c>
      <c r="C1184" s="927"/>
      <c r="D1184" s="927">
        <f>'[15]Input Sheet'!Q790</f>
        <v>0</v>
      </c>
      <c r="E1184" s="927">
        <f>'[15]Input Sheet'!R790</f>
        <v>0</v>
      </c>
      <c r="F1184" s="911">
        <v>0</v>
      </c>
      <c r="G1184" s="836">
        <v>0</v>
      </c>
      <c r="H1184" s="243"/>
      <c r="I1184" s="243"/>
      <c r="J1184" s="243"/>
      <c r="K1184" s="243"/>
      <c r="L1184" s="243"/>
      <c r="M1184" s="243"/>
    </row>
    <row r="1185" spans="1:13" x14ac:dyDescent="0.2">
      <c r="A1185" s="835">
        <v>53027</v>
      </c>
      <c r="B1185" s="808" t="s">
        <v>1669</v>
      </c>
      <c r="C1185" s="927"/>
      <c r="D1185" s="927">
        <f>'[15]Input Sheet'!Q791</f>
        <v>0</v>
      </c>
      <c r="E1185" s="927">
        <f>'[15]Input Sheet'!R791</f>
        <v>0</v>
      </c>
      <c r="F1185" s="911">
        <v>0</v>
      </c>
      <c r="G1185" s="836">
        <v>0.89015480000000002</v>
      </c>
      <c r="H1185" s="243"/>
      <c r="I1185" s="243"/>
      <c r="J1185" s="243"/>
      <c r="K1185" s="243"/>
      <c r="L1185" s="243"/>
      <c r="M1185" s="243"/>
    </row>
    <row r="1186" spans="1:13" x14ac:dyDescent="0.2">
      <c r="A1186" s="835">
        <v>53028</v>
      </c>
      <c r="B1186" s="808" t="s">
        <v>1670</v>
      </c>
      <c r="C1186" s="927"/>
      <c r="D1186" s="927">
        <f>'[15]Input Sheet'!Q792</f>
        <v>0</v>
      </c>
      <c r="E1186" s="927">
        <f>'[15]Input Sheet'!R792</f>
        <v>0</v>
      </c>
      <c r="F1186" s="911">
        <v>1.6841667</v>
      </c>
      <c r="G1186" s="836">
        <v>5.0525000999999996</v>
      </c>
      <c r="H1186" s="243"/>
      <c r="I1186" s="243"/>
      <c r="J1186" s="243"/>
      <c r="K1186" s="243"/>
      <c r="L1186" s="243"/>
      <c r="M1186" s="243"/>
    </row>
    <row r="1187" spans="1:13" x14ac:dyDescent="0.2">
      <c r="A1187" s="835">
        <v>53029</v>
      </c>
      <c r="B1187" s="808" t="s">
        <v>1671</v>
      </c>
      <c r="C1187" s="927"/>
      <c r="D1187" s="927">
        <f>'[15]Input Sheet'!Q793</f>
        <v>0</v>
      </c>
      <c r="E1187" s="927">
        <f>'[15]Input Sheet'!R793</f>
        <v>0</v>
      </c>
      <c r="F1187" s="911">
        <v>0</v>
      </c>
      <c r="G1187" s="836">
        <v>0</v>
      </c>
      <c r="H1187" s="243"/>
      <c r="I1187" s="243"/>
      <c r="J1187" s="243"/>
      <c r="K1187" s="243"/>
      <c r="L1187" s="243"/>
      <c r="M1187" s="243"/>
    </row>
    <row r="1188" spans="1:13" x14ac:dyDescent="0.2">
      <c r="A1188" s="835">
        <v>53030</v>
      </c>
      <c r="B1188" s="808" t="s">
        <v>1672</v>
      </c>
      <c r="C1188" s="927"/>
      <c r="D1188" s="927">
        <f>'[15]Input Sheet'!Q794</f>
        <v>0</v>
      </c>
      <c r="E1188" s="927">
        <f>'[15]Input Sheet'!R794</f>
        <v>5386.5228864999999</v>
      </c>
      <c r="F1188" s="911">
        <v>6830.3331446000002</v>
      </c>
      <c r="G1188" s="836">
        <v>7496.3716464999998</v>
      </c>
      <c r="H1188" s="243"/>
      <c r="I1188" s="243"/>
      <c r="J1188" s="243"/>
      <c r="K1188" s="243"/>
      <c r="L1188" s="243"/>
      <c r="M1188" s="243"/>
    </row>
    <row r="1189" spans="1:13" x14ac:dyDescent="0.2">
      <c r="A1189" s="835">
        <v>53031</v>
      </c>
      <c r="B1189" s="808" t="s">
        <v>1673</v>
      </c>
      <c r="C1189" s="927"/>
      <c r="D1189" s="927">
        <f>'[15]Input Sheet'!Q795</f>
        <v>0</v>
      </c>
      <c r="E1189" s="927">
        <f>'[15]Input Sheet'!R795</f>
        <v>2.3858334000000001</v>
      </c>
      <c r="F1189" s="911">
        <v>7.1575002000000003</v>
      </c>
      <c r="G1189" s="836">
        <v>9.5433336000000004</v>
      </c>
      <c r="H1189" s="243"/>
      <c r="I1189" s="243"/>
      <c r="J1189" s="243"/>
      <c r="K1189" s="243"/>
      <c r="L1189" s="243"/>
      <c r="M1189" s="243"/>
    </row>
    <row r="1190" spans="1:13" x14ac:dyDescent="0.2">
      <c r="A1190" s="835">
        <v>53032</v>
      </c>
      <c r="B1190" s="808" t="s">
        <v>1645</v>
      </c>
      <c r="C1190" s="927"/>
      <c r="D1190" s="927">
        <f>'[15]Input Sheet'!Q796</f>
        <v>0</v>
      </c>
      <c r="E1190" s="927">
        <f>'[15]Input Sheet'!R796</f>
        <v>130.65651679999999</v>
      </c>
      <c r="F1190" s="911">
        <v>285.06876799999998</v>
      </c>
      <c r="G1190" s="836">
        <v>356.33596039999998</v>
      </c>
      <c r="H1190" s="243"/>
      <c r="I1190" s="243"/>
      <c r="J1190" s="243"/>
      <c r="K1190" s="243"/>
      <c r="L1190" s="243"/>
      <c r="M1190" s="243"/>
    </row>
    <row r="1191" spans="1:13" x14ac:dyDescent="0.2">
      <c r="A1191" s="835">
        <v>53033</v>
      </c>
      <c r="B1191" s="808" t="s">
        <v>1674</v>
      </c>
      <c r="C1191" s="927"/>
      <c r="D1191" s="927">
        <f>'[15]Input Sheet'!Q797</f>
        <v>0</v>
      </c>
      <c r="E1191" s="927">
        <f>'[15]Input Sheet'!R797</f>
        <v>0</v>
      </c>
      <c r="F1191" s="911">
        <v>0</v>
      </c>
      <c r="G1191" s="836">
        <v>0</v>
      </c>
      <c r="H1191" s="243"/>
      <c r="I1191" s="243"/>
      <c r="J1191" s="243"/>
      <c r="K1191" s="243"/>
      <c r="L1191" s="243"/>
      <c r="M1191" s="243"/>
    </row>
    <row r="1192" spans="1:13" x14ac:dyDescent="0.2">
      <c r="A1192" s="835">
        <v>53034</v>
      </c>
      <c r="B1192" s="808" t="s">
        <v>1675</v>
      </c>
      <c r="C1192" s="927"/>
      <c r="D1192" s="927">
        <f>'[15]Input Sheet'!Q798</f>
        <v>0</v>
      </c>
      <c r="E1192" s="927">
        <f>'[15]Input Sheet'!R798</f>
        <v>8.3397207000000009</v>
      </c>
      <c r="F1192" s="911">
        <v>59.247347699999999</v>
      </c>
      <c r="G1192" s="836">
        <v>90.823124000000007</v>
      </c>
      <c r="H1192" s="243"/>
      <c r="I1192" s="243"/>
      <c r="J1192" s="243"/>
      <c r="K1192" s="243"/>
      <c r="L1192" s="243"/>
      <c r="M1192" s="243"/>
    </row>
    <row r="1193" spans="1:13" x14ac:dyDescent="0.2">
      <c r="A1193" s="835">
        <v>53035</v>
      </c>
      <c r="B1193" s="808" t="s">
        <v>1676</v>
      </c>
      <c r="C1193" s="927"/>
      <c r="D1193" s="927">
        <f>'[15]Input Sheet'!Q799</f>
        <v>0</v>
      </c>
      <c r="E1193" s="927">
        <f>'[15]Input Sheet'!R799</f>
        <v>63.9000001</v>
      </c>
      <c r="F1193" s="911">
        <v>92.300000299999994</v>
      </c>
      <c r="G1193" s="836">
        <v>106.5000002</v>
      </c>
      <c r="H1193" s="243"/>
      <c r="I1193" s="243"/>
      <c r="J1193" s="243"/>
      <c r="K1193" s="243"/>
      <c r="L1193" s="243"/>
      <c r="M1193" s="243"/>
    </row>
    <row r="1194" spans="1:13" x14ac:dyDescent="0.2">
      <c r="A1194" s="835">
        <v>53036</v>
      </c>
      <c r="B1194" s="808" t="s">
        <v>1677</v>
      </c>
      <c r="C1194" s="927"/>
      <c r="D1194" s="927">
        <f>'[15]Input Sheet'!Q800</f>
        <v>0</v>
      </c>
      <c r="E1194" s="927">
        <f>'[15]Input Sheet'!R800</f>
        <v>3.4972167999999999</v>
      </c>
      <c r="F1194" s="911">
        <v>4.4298079000000001</v>
      </c>
      <c r="G1194" s="836">
        <v>4.8961033</v>
      </c>
      <c r="H1194" s="243"/>
      <c r="I1194" s="243"/>
      <c r="J1194" s="243"/>
      <c r="K1194" s="243"/>
      <c r="L1194" s="243"/>
      <c r="M1194" s="243"/>
    </row>
    <row r="1195" spans="1:13" x14ac:dyDescent="0.2">
      <c r="A1195" s="835">
        <v>53037</v>
      </c>
      <c r="B1195" s="808" t="s">
        <v>1678</v>
      </c>
      <c r="C1195" s="927"/>
      <c r="D1195" s="927">
        <f>'[15]Input Sheet'!Q801</f>
        <v>0</v>
      </c>
      <c r="E1195" s="927">
        <f>'[15]Input Sheet'!R801</f>
        <v>61.787818799999997</v>
      </c>
      <c r="F1195" s="911">
        <v>71.424684400000004</v>
      </c>
      <c r="G1195" s="836">
        <v>66.459262499999994</v>
      </c>
      <c r="H1195" s="243"/>
      <c r="I1195" s="243"/>
      <c r="J1195" s="243"/>
      <c r="K1195" s="243"/>
      <c r="L1195" s="243"/>
      <c r="M1195" s="243"/>
    </row>
    <row r="1196" spans="1:13" x14ac:dyDescent="0.2">
      <c r="A1196" s="835">
        <v>53038</v>
      </c>
      <c r="B1196" s="808" t="s">
        <v>1679</v>
      </c>
      <c r="C1196" s="927"/>
      <c r="D1196" s="927">
        <f>'[15]Input Sheet'!Q802</f>
        <v>0</v>
      </c>
      <c r="E1196" s="927">
        <f>'[15]Input Sheet'!R802</f>
        <v>0</v>
      </c>
      <c r="F1196" s="911">
        <v>0</v>
      </c>
      <c r="G1196" s="836">
        <v>0</v>
      </c>
      <c r="H1196" s="243"/>
      <c r="I1196" s="243"/>
      <c r="J1196" s="243"/>
      <c r="K1196" s="243"/>
      <c r="L1196" s="243"/>
      <c r="M1196" s="243"/>
    </row>
    <row r="1197" spans="1:13" x14ac:dyDescent="0.2">
      <c r="A1197" s="835">
        <v>53039</v>
      </c>
      <c r="B1197" s="808" t="s">
        <v>1680</v>
      </c>
      <c r="C1197" s="927"/>
      <c r="D1197" s="927">
        <f>'[15]Input Sheet'!Q803</f>
        <v>0</v>
      </c>
      <c r="E1197" s="927">
        <f>'[15]Input Sheet'!R803</f>
        <v>0</v>
      </c>
      <c r="F1197" s="911">
        <v>0</v>
      </c>
      <c r="G1197" s="836">
        <v>0</v>
      </c>
      <c r="H1197" s="243"/>
      <c r="I1197" s="243"/>
      <c r="J1197" s="243"/>
      <c r="K1197" s="243"/>
      <c r="L1197" s="243"/>
      <c r="M1197" s="243"/>
    </row>
    <row r="1198" spans="1:13" x14ac:dyDescent="0.2">
      <c r="A1198" s="835">
        <v>53040</v>
      </c>
      <c r="B1198" s="808" t="s">
        <v>1681</v>
      </c>
      <c r="C1198" s="927"/>
      <c r="D1198" s="927">
        <f>'[15]Input Sheet'!Q804</f>
        <v>0</v>
      </c>
      <c r="E1198" s="927">
        <f>'[15]Input Sheet'!R804</f>
        <v>3.0578055000000002</v>
      </c>
      <c r="F1198" s="911">
        <v>3.9986687999999999</v>
      </c>
      <c r="G1198" s="836">
        <v>4.4691010999999996</v>
      </c>
      <c r="H1198" s="243"/>
      <c r="I1198" s="243"/>
      <c r="J1198" s="243"/>
      <c r="K1198" s="243"/>
      <c r="L1198" s="243"/>
      <c r="M1198" s="243"/>
    </row>
    <row r="1199" spans="1:13" x14ac:dyDescent="0.2">
      <c r="A1199" s="835">
        <v>53041</v>
      </c>
      <c r="B1199" s="808" t="s">
        <v>1682</v>
      </c>
      <c r="C1199" s="927"/>
      <c r="D1199" s="927">
        <f>'[15]Input Sheet'!Q805</f>
        <v>0</v>
      </c>
      <c r="E1199" s="927">
        <f>'[15]Input Sheet'!R805</f>
        <v>10.5760197</v>
      </c>
      <c r="F1199" s="911">
        <v>13.8301801</v>
      </c>
      <c r="G1199" s="836">
        <v>15.4572603</v>
      </c>
      <c r="H1199" s="243"/>
      <c r="I1199" s="243"/>
      <c r="J1199" s="243"/>
      <c r="K1199" s="243"/>
      <c r="L1199" s="243"/>
      <c r="M1199" s="243"/>
    </row>
    <row r="1200" spans="1:13" x14ac:dyDescent="0.2">
      <c r="A1200" s="835">
        <v>53042</v>
      </c>
      <c r="B1200" s="808" t="s">
        <v>1683</v>
      </c>
      <c r="C1200" s="927"/>
      <c r="D1200" s="927">
        <f>'[15]Input Sheet'!Q806</f>
        <v>0</v>
      </c>
      <c r="E1200" s="927">
        <f>'[15]Input Sheet'!R806</f>
        <v>0</v>
      </c>
      <c r="F1200" s="911">
        <v>0</v>
      </c>
      <c r="G1200" s="836">
        <v>0</v>
      </c>
      <c r="H1200" s="243"/>
      <c r="I1200" s="243"/>
      <c r="J1200" s="243"/>
      <c r="K1200" s="243"/>
      <c r="L1200" s="243"/>
      <c r="M1200" s="243"/>
    </row>
    <row r="1201" spans="1:13" x14ac:dyDescent="0.2">
      <c r="A1201" s="835">
        <v>53043</v>
      </c>
      <c r="B1201" s="808" t="s">
        <v>1684</v>
      </c>
      <c r="C1201" s="927"/>
      <c r="D1201" s="927">
        <f>'[15]Input Sheet'!Q807</f>
        <v>0</v>
      </c>
      <c r="E1201" s="927">
        <f>'[15]Input Sheet'!R807</f>
        <v>0</v>
      </c>
      <c r="F1201" s="911">
        <v>0</v>
      </c>
      <c r="G1201" s="836">
        <v>0</v>
      </c>
      <c r="H1201" s="243"/>
      <c r="I1201" s="243"/>
      <c r="J1201" s="243"/>
      <c r="K1201" s="243"/>
      <c r="L1201" s="243"/>
      <c r="M1201" s="243"/>
    </row>
    <row r="1202" spans="1:13" x14ac:dyDescent="0.2">
      <c r="A1202" s="835">
        <v>53044</v>
      </c>
      <c r="B1202" s="808" t="s">
        <v>1685</v>
      </c>
      <c r="C1202" s="927"/>
      <c r="D1202" s="927">
        <f>'[15]Input Sheet'!Q808</f>
        <v>0</v>
      </c>
      <c r="E1202" s="927">
        <f>'[15]Input Sheet'!R808</f>
        <v>0</v>
      </c>
      <c r="F1202" s="911">
        <v>0</v>
      </c>
      <c r="G1202" s="836">
        <v>0</v>
      </c>
      <c r="H1202" s="243"/>
      <c r="I1202" s="243"/>
      <c r="J1202" s="243"/>
      <c r="K1202" s="243"/>
      <c r="L1202" s="243"/>
      <c r="M1202" s="243"/>
    </row>
    <row r="1203" spans="1:13" x14ac:dyDescent="0.2">
      <c r="A1203" s="835">
        <v>53045</v>
      </c>
      <c r="B1203" s="808" t="s">
        <v>1686</v>
      </c>
      <c r="C1203" s="927"/>
      <c r="D1203" s="927">
        <f>'[15]Input Sheet'!Q809</f>
        <v>0</v>
      </c>
      <c r="E1203" s="927">
        <f>'[15]Input Sheet'!R809</f>
        <v>1.5491785</v>
      </c>
      <c r="F1203" s="911">
        <v>2.1393415</v>
      </c>
      <c r="G1203" s="836">
        <v>2.4344231000000001</v>
      </c>
      <c r="H1203" s="243"/>
      <c r="I1203" s="243"/>
      <c r="J1203" s="243"/>
      <c r="K1203" s="243"/>
      <c r="L1203" s="243"/>
      <c r="M1203" s="243"/>
    </row>
    <row r="1204" spans="1:13" x14ac:dyDescent="0.2">
      <c r="A1204" s="835">
        <v>53046</v>
      </c>
      <c r="B1204" s="808" t="s">
        <v>1687</v>
      </c>
      <c r="C1204" s="927"/>
      <c r="D1204" s="927">
        <f>'[15]Input Sheet'!Q810</f>
        <v>0</v>
      </c>
      <c r="E1204" s="927">
        <f>'[15]Input Sheet'!R810</f>
        <v>0.30625279999999999</v>
      </c>
      <c r="F1204" s="911">
        <v>0.3879203</v>
      </c>
      <c r="G1204" s="836">
        <v>0.42875400000000002</v>
      </c>
      <c r="H1204" s="243"/>
      <c r="I1204" s="243"/>
      <c r="J1204" s="243"/>
      <c r="K1204" s="243"/>
      <c r="L1204" s="243"/>
      <c r="M1204" s="243"/>
    </row>
    <row r="1205" spans="1:13" x14ac:dyDescent="0.2">
      <c r="A1205" s="835">
        <v>53047</v>
      </c>
      <c r="B1205" s="808" t="s">
        <v>1688</v>
      </c>
      <c r="C1205" s="927"/>
      <c r="D1205" s="927">
        <f>'[15]Input Sheet'!Q811</f>
        <v>0</v>
      </c>
      <c r="E1205" s="927">
        <f>'[15]Input Sheet'!R811</f>
        <v>3.8266035</v>
      </c>
      <c r="F1205" s="911">
        <v>4.8470310000000003</v>
      </c>
      <c r="G1205" s="836">
        <v>5.3572445999999996</v>
      </c>
      <c r="H1205" s="243"/>
      <c r="I1205" s="243"/>
      <c r="J1205" s="243"/>
      <c r="K1205" s="243"/>
      <c r="L1205" s="243"/>
      <c r="M1205" s="243"/>
    </row>
    <row r="1206" spans="1:13" x14ac:dyDescent="0.2">
      <c r="A1206" s="835">
        <v>53048</v>
      </c>
      <c r="B1206" s="808" t="s">
        <v>1689</v>
      </c>
      <c r="C1206" s="927"/>
      <c r="D1206" s="927">
        <f>'[15]Input Sheet'!Q812</f>
        <v>0</v>
      </c>
      <c r="E1206" s="927">
        <f>'[15]Input Sheet'!R812</f>
        <v>3.8987311</v>
      </c>
      <c r="F1206" s="911">
        <v>4.9383927999999999</v>
      </c>
      <c r="G1206" s="836">
        <v>5.4582234999999999</v>
      </c>
      <c r="H1206" s="243"/>
      <c r="I1206" s="243"/>
      <c r="J1206" s="243"/>
      <c r="K1206" s="243"/>
      <c r="L1206" s="243"/>
      <c r="M1206" s="243"/>
    </row>
    <row r="1207" spans="1:13" x14ac:dyDescent="0.2">
      <c r="A1207" s="835">
        <v>53049</v>
      </c>
      <c r="B1207" s="808" t="s">
        <v>1690</v>
      </c>
      <c r="C1207" s="927"/>
      <c r="D1207" s="927">
        <f>'[15]Input Sheet'!Q813</f>
        <v>0</v>
      </c>
      <c r="E1207" s="927">
        <f>'[15]Input Sheet'!R813</f>
        <v>0</v>
      </c>
      <c r="F1207" s="911">
        <v>0</v>
      </c>
      <c r="G1207" s="836">
        <v>0</v>
      </c>
      <c r="H1207" s="243"/>
      <c r="I1207" s="243"/>
      <c r="J1207" s="243"/>
      <c r="K1207" s="243"/>
      <c r="L1207" s="243"/>
      <c r="M1207" s="243"/>
    </row>
    <row r="1208" spans="1:13" x14ac:dyDescent="0.2">
      <c r="A1208" s="835">
        <v>53050</v>
      </c>
      <c r="B1208" s="808" t="s">
        <v>1691</v>
      </c>
      <c r="C1208" s="927"/>
      <c r="D1208" s="927">
        <f>'[15]Input Sheet'!Q814</f>
        <v>0</v>
      </c>
      <c r="E1208" s="927">
        <f>'[15]Input Sheet'!R814</f>
        <v>3.2433709999999998</v>
      </c>
      <c r="F1208" s="911">
        <v>4.2413314</v>
      </c>
      <c r="G1208" s="836">
        <v>4.7403111999999998</v>
      </c>
      <c r="H1208" s="243"/>
      <c r="I1208" s="243"/>
      <c r="J1208" s="243"/>
      <c r="K1208" s="243"/>
      <c r="L1208" s="243"/>
      <c r="M1208" s="243"/>
    </row>
    <row r="1209" spans="1:13" x14ac:dyDescent="0.2">
      <c r="A1209" s="835">
        <v>53051</v>
      </c>
      <c r="B1209" s="808" t="s">
        <v>1692</v>
      </c>
      <c r="C1209" s="927"/>
      <c r="D1209" s="927">
        <f>'[15]Input Sheet'!Q815</f>
        <v>0</v>
      </c>
      <c r="E1209" s="927">
        <f>'[15]Input Sheet'!R815</f>
        <v>0</v>
      </c>
      <c r="F1209" s="911">
        <v>0</v>
      </c>
      <c r="G1209" s="836">
        <v>0</v>
      </c>
      <c r="H1209" s="243"/>
      <c r="I1209" s="243"/>
      <c r="J1209" s="243"/>
      <c r="K1209" s="243"/>
      <c r="L1209" s="243"/>
      <c r="M1209" s="243"/>
    </row>
    <row r="1210" spans="1:13" x14ac:dyDescent="0.2">
      <c r="A1210" s="835">
        <v>53052</v>
      </c>
      <c r="B1210" s="808" t="s">
        <v>1693</v>
      </c>
      <c r="C1210" s="927"/>
      <c r="D1210" s="927">
        <f>'[15]Input Sheet'!Q816</f>
        <v>0</v>
      </c>
      <c r="E1210" s="927">
        <f>'[15]Input Sheet'!R816</f>
        <v>0</v>
      </c>
      <c r="F1210" s="911">
        <v>0</v>
      </c>
      <c r="G1210" s="836">
        <v>0</v>
      </c>
      <c r="H1210" s="243"/>
      <c r="I1210" s="243"/>
      <c r="J1210" s="243"/>
      <c r="K1210" s="243"/>
      <c r="L1210" s="243"/>
      <c r="M1210" s="243"/>
    </row>
    <row r="1211" spans="1:13" x14ac:dyDescent="0.2">
      <c r="A1211" s="835">
        <v>53053</v>
      </c>
      <c r="B1211" s="808" t="s">
        <v>1694</v>
      </c>
      <c r="C1211" s="927"/>
      <c r="D1211" s="927">
        <f>'[15]Input Sheet'!Q817</f>
        <v>0</v>
      </c>
      <c r="E1211" s="927">
        <f>'[15]Input Sheet'!R817</f>
        <v>6.8300953</v>
      </c>
      <c r="F1211" s="911">
        <v>9.2057803000000007</v>
      </c>
      <c r="G1211" s="836">
        <v>10.3936229</v>
      </c>
      <c r="H1211" s="243"/>
      <c r="I1211" s="243"/>
      <c r="J1211" s="243"/>
      <c r="K1211" s="243"/>
      <c r="L1211" s="243"/>
      <c r="M1211" s="243"/>
    </row>
    <row r="1212" spans="1:13" x14ac:dyDescent="0.2">
      <c r="A1212" s="835">
        <v>53054</v>
      </c>
      <c r="B1212" s="808" t="s">
        <v>1695</v>
      </c>
      <c r="C1212" s="927"/>
      <c r="D1212" s="927">
        <f>'[15]Input Sheet'!Q818</f>
        <v>0</v>
      </c>
      <c r="E1212" s="927">
        <f>'[15]Input Sheet'!R818</f>
        <v>16.542000000000002</v>
      </c>
      <c r="F1212" s="911">
        <v>20.218</v>
      </c>
      <c r="G1212" s="836">
        <v>22.056000000000001</v>
      </c>
      <c r="H1212" s="243"/>
      <c r="I1212" s="243"/>
      <c r="J1212" s="243"/>
      <c r="K1212" s="243"/>
      <c r="L1212" s="243"/>
      <c r="M1212" s="243"/>
    </row>
    <row r="1213" spans="1:13" x14ac:dyDescent="0.2">
      <c r="A1213" s="835">
        <v>53055</v>
      </c>
      <c r="B1213" s="808" t="s">
        <v>1696</v>
      </c>
      <c r="C1213" s="927"/>
      <c r="D1213" s="927">
        <f>'[15]Input Sheet'!Q819</f>
        <v>0</v>
      </c>
      <c r="E1213" s="927">
        <f>'[15]Input Sheet'!R819</f>
        <v>9.5924212999999998</v>
      </c>
      <c r="F1213" s="911">
        <v>13.080573899999999</v>
      </c>
      <c r="G1213" s="836">
        <v>14.824650399999999</v>
      </c>
      <c r="H1213" s="243"/>
      <c r="I1213" s="243"/>
      <c r="J1213" s="243"/>
      <c r="K1213" s="243"/>
      <c r="L1213" s="243"/>
      <c r="M1213" s="243"/>
    </row>
    <row r="1214" spans="1:13" x14ac:dyDescent="0.2">
      <c r="A1214" s="835">
        <v>53056</v>
      </c>
      <c r="B1214" s="808" t="s">
        <v>1697</v>
      </c>
      <c r="C1214" s="927"/>
      <c r="D1214" s="927">
        <f>'[15]Input Sheet'!Q820</f>
        <v>0</v>
      </c>
      <c r="E1214" s="927">
        <f>'[15]Input Sheet'!R820</f>
        <v>5.6213328000000002</v>
      </c>
      <c r="F1214" s="911">
        <v>7.0719994000000002</v>
      </c>
      <c r="G1214" s="836">
        <v>7.7973330000000001</v>
      </c>
      <c r="H1214" s="243"/>
      <c r="I1214" s="243"/>
      <c r="J1214" s="243"/>
      <c r="K1214" s="243"/>
      <c r="L1214" s="243"/>
      <c r="M1214" s="243"/>
    </row>
    <row r="1215" spans="1:13" x14ac:dyDescent="0.2">
      <c r="A1215" s="835">
        <v>53057</v>
      </c>
      <c r="B1215" s="808" t="s">
        <v>1698</v>
      </c>
      <c r="C1215" s="927"/>
      <c r="D1215" s="927">
        <f>'[15]Input Sheet'!Q821</f>
        <v>0</v>
      </c>
      <c r="E1215" s="927">
        <f>'[15]Input Sheet'!R821</f>
        <v>0</v>
      </c>
      <c r="F1215" s="911">
        <v>0</v>
      </c>
      <c r="G1215" s="836">
        <v>0</v>
      </c>
      <c r="H1215" s="243"/>
      <c r="I1215" s="243"/>
      <c r="J1215" s="243"/>
      <c r="K1215" s="243"/>
      <c r="L1215" s="243"/>
      <c r="M1215" s="243"/>
    </row>
    <row r="1216" spans="1:13" x14ac:dyDescent="0.2">
      <c r="A1216" s="835">
        <v>53058</v>
      </c>
      <c r="B1216" s="808" t="s">
        <v>1699</v>
      </c>
      <c r="C1216" s="927"/>
      <c r="D1216" s="927">
        <f>'[15]Input Sheet'!Q822</f>
        <v>0</v>
      </c>
      <c r="E1216" s="927">
        <f>'[15]Input Sheet'!R822</f>
        <v>0.72072429999999998</v>
      </c>
      <c r="F1216" s="911">
        <v>0.94248589999999999</v>
      </c>
      <c r="G1216" s="836">
        <v>1.0533665999999999</v>
      </c>
      <c r="H1216" s="243"/>
      <c r="I1216" s="243"/>
      <c r="J1216" s="243"/>
      <c r="K1216" s="243"/>
      <c r="L1216" s="243"/>
      <c r="M1216" s="243"/>
    </row>
    <row r="1217" spans="1:13" x14ac:dyDescent="0.2">
      <c r="A1217" s="835">
        <v>53059</v>
      </c>
      <c r="B1217" s="808" t="s">
        <v>1700</v>
      </c>
      <c r="C1217" s="927"/>
      <c r="D1217" s="927">
        <f>'[15]Input Sheet'!Q823</f>
        <v>0</v>
      </c>
      <c r="E1217" s="927">
        <f>'[15]Input Sheet'!R823</f>
        <v>3.0271883000000002</v>
      </c>
      <c r="F1217" s="911">
        <v>3.9586312000000001</v>
      </c>
      <c r="G1217" s="836">
        <v>4.4243525000000004</v>
      </c>
      <c r="H1217" s="243"/>
      <c r="I1217" s="243"/>
      <c r="J1217" s="243"/>
      <c r="K1217" s="243"/>
      <c r="L1217" s="243"/>
      <c r="M1217" s="243"/>
    </row>
    <row r="1218" spans="1:13" x14ac:dyDescent="0.2">
      <c r="A1218" s="835">
        <v>53060</v>
      </c>
      <c r="B1218" s="808" t="s">
        <v>1701</v>
      </c>
      <c r="C1218" s="927"/>
      <c r="D1218" s="927">
        <f>'[15]Input Sheet'!Q824</f>
        <v>0</v>
      </c>
      <c r="E1218" s="927">
        <f>'[15]Input Sheet'!R824</f>
        <v>0.8689519</v>
      </c>
      <c r="F1218" s="911">
        <v>1.1363216</v>
      </c>
      <c r="G1218" s="836">
        <v>1.2700065</v>
      </c>
      <c r="H1218" s="243"/>
      <c r="I1218" s="243"/>
      <c r="J1218" s="243"/>
      <c r="K1218" s="243"/>
      <c r="L1218" s="243"/>
      <c r="M1218" s="243"/>
    </row>
    <row r="1219" spans="1:13" x14ac:dyDescent="0.2">
      <c r="A1219" s="835">
        <v>53061</v>
      </c>
      <c r="B1219" s="808" t="s">
        <v>1702</v>
      </c>
      <c r="C1219" s="927"/>
      <c r="D1219" s="927">
        <f>'[15]Input Sheet'!Q825</f>
        <v>0</v>
      </c>
      <c r="E1219" s="927">
        <f>'[15]Input Sheet'!R825</f>
        <v>2.8093224999999999</v>
      </c>
      <c r="F1219" s="911">
        <v>3.6737294999999999</v>
      </c>
      <c r="G1219" s="836">
        <v>4.1059330000000003</v>
      </c>
      <c r="H1219" s="243"/>
      <c r="I1219" s="243"/>
      <c r="J1219" s="243"/>
      <c r="K1219" s="243"/>
      <c r="L1219" s="243"/>
      <c r="M1219" s="243"/>
    </row>
    <row r="1220" spans="1:13" x14ac:dyDescent="0.2">
      <c r="A1220" s="835">
        <v>53062</v>
      </c>
      <c r="B1220" s="808" t="s">
        <v>1703</v>
      </c>
      <c r="C1220" s="927"/>
      <c r="D1220" s="927">
        <f>'[15]Input Sheet'!Q826</f>
        <v>0</v>
      </c>
      <c r="E1220" s="927">
        <f>'[15]Input Sheet'!R826</f>
        <v>0</v>
      </c>
      <c r="F1220" s="911">
        <v>0</v>
      </c>
      <c r="G1220" s="836">
        <v>0</v>
      </c>
      <c r="H1220" s="243"/>
      <c r="I1220" s="243"/>
      <c r="J1220" s="243"/>
      <c r="K1220" s="243"/>
      <c r="L1220" s="243"/>
      <c r="M1220" s="243"/>
    </row>
    <row r="1221" spans="1:13" x14ac:dyDescent="0.2">
      <c r="A1221" s="835">
        <v>53063</v>
      </c>
      <c r="B1221" s="808" t="s">
        <v>1704</v>
      </c>
      <c r="C1221" s="927"/>
      <c r="D1221" s="927">
        <f>'[15]Input Sheet'!Q827</f>
        <v>0</v>
      </c>
      <c r="E1221" s="927">
        <f>'[15]Input Sheet'!R827</f>
        <v>0</v>
      </c>
      <c r="F1221" s="911">
        <v>0</v>
      </c>
      <c r="G1221" s="836">
        <v>0</v>
      </c>
      <c r="H1221" s="243"/>
      <c r="I1221" s="243"/>
      <c r="J1221" s="243"/>
      <c r="K1221" s="243"/>
      <c r="L1221" s="243"/>
      <c r="M1221" s="243"/>
    </row>
    <row r="1222" spans="1:13" x14ac:dyDescent="0.2">
      <c r="A1222" s="835">
        <v>53064</v>
      </c>
      <c r="B1222" s="808" t="s">
        <v>1705</v>
      </c>
      <c r="C1222" s="927"/>
      <c r="D1222" s="927">
        <f>'[15]Input Sheet'!Q828</f>
        <v>0</v>
      </c>
      <c r="E1222" s="927">
        <f>'[15]Input Sheet'!R828</f>
        <v>0</v>
      </c>
      <c r="F1222" s="911">
        <v>0</v>
      </c>
      <c r="G1222" s="836">
        <v>0</v>
      </c>
      <c r="H1222" s="243"/>
      <c r="I1222" s="243"/>
      <c r="J1222" s="243"/>
      <c r="K1222" s="243"/>
      <c r="L1222" s="243"/>
      <c r="M1222" s="243"/>
    </row>
    <row r="1223" spans="1:13" x14ac:dyDescent="0.2">
      <c r="A1223" s="835">
        <v>53065</v>
      </c>
      <c r="B1223" s="808" t="s">
        <v>1706</v>
      </c>
      <c r="C1223" s="927"/>
      <c r="D1223" s="927">
        <f>'[15]Input Sheet'!Q829</f>
        <v>0</v>
      </c>
      <c r="E1223" s="927">
        <f>'[15]Input Sheet'!R829</f>
        <v>0</v>
      </c>
      <c r="F1223" s="911">
        <v>0</v>
      </c>
      <c r="G1223" s="836">
        <v>0</v>
      </c>
      <c r="H1223" s="243"/>
      <c r="I1223" s="243"/>
      <c r="J1223" s="243"/>
      <c r="K1223" s="243"/>
      <c r="L1223" s="243"/>
      <c r="M1223" s="243"/>
    </row>
    <row r="1224" spans="1:13" x14ac:dyDescent="0.2">
      <c r="A1224" s="835">
        <v>53066</v>
      </c>
      <c r="B1224" s="808" t="s">
        <v>1707</v>
      </c>
      <c r="C1224" s="927"/>
      <c r="D1224" s="927">
        <f>'[15]Input Sheet'!Q830</f>
        <v>0</v>
      </c>
      <c r="E1224" s="927">
        <f>'[15]Input Sheet'!R830</f>
        <v>0</v>
      </c>
      <c r="F1224" s="911">
        <v>0</v>
      </c>
      <c r="G1224" s="836">
        <v>0</v>
      </c>
      <c r="H1224" s="243"/>
      <c r="I1224" s="243"/>
      <c r="J1224" s="243"/>
      <c r="K1224" s="243"/>
      <c r="L1224" s="243"/>
      <c r="M1224" s="243"/>
    </row>
    <row r="1225" spans="1:13" x14ac:dyDescent="0.2">
      <c r="A1225" s="835">
        <v>53067</v>
      </c>
      <c r="B1225" s="808" t="s">
        <v>1708</v>
      </c>
      <c r="C1225" s="927"/>
      <c r="D1225" s="927">
        <f>'[15]Input Sheet'!Q831</f>
        <v>0</v>
      </c>
      <c r="E1225" s="927">
        <f>'[15]Input Sheet'!R831</f>
        <v>0</v>
      </c>
      <c r="F1225" s="911">
        <v>0</v>
      </c>
      <c r="G1225" s="836">
        <v>0</v>
      </c>
      <c r="H1225" s="243"/>
      <c r="I1225" s="243"/>
      <c r="J1225" s="243"/>
      <c r="K1225" s="243"/>
      <c r="L1225" s="243"/>
      <c r="M1225" s="243"/>
    </row>
    <row r="1226" spans="1:13" x14ac:dyDescent="0.2">
      <c r="A1226" s="835">
        <v>53068</v>
      </c>
      <c r="B1226" s="808" t="s">
        <v>1709</v>
      </c>
      <c r="C1226" s="927"/>
      <c r="D1226" s="927">
        <f>'[15]Input Sheet'!Q832</f>
        <v>0</v>
      </c>
      <c r="E1226" s="927">
        <f>'[15]Input Sheet'!R832</f>
        <v>0</v>
      </c>
      <c r="F1226" s="911">
        <v>0</v>
      </c>
      <c r="G1226" s="836">
        <v>0</v>
      </c>
      <c r="H1226" s="243"/>
      <c r="I1226" s="243"/>
      <c r="J1226" s="243"/>
      <c r="K1226" s="243"/>
      <c r="L1226" s="243"/>
      <c r="M1226" s="243"/>
    </row>
    <row r="1227" spans="1:13" x14ac:dyDescent="0.2">
      <c r="A1227" s="835">
        <v>53069</v>
      </c>
      <c r="B1227" s="808" t="s">
        <v>1710</v>
      </c>
      <c r="C1227" s="927"/>
      <c r="D1227" s="927">
        <f>'[15]Input Sheet'!Q833</f>
        <v>0</v>
      </c>
      <c r="E1227" s="927">
        <f>'[15]Input Sheet'!R833</f>
        <v>0</v>
      </c>
      <c r="F1227" s="911">
        <v>0</v>
      </c>
      <c r="G1227" s="836">
        <v>0</v>
      </c>
      <c r="H1227" s="243"/>
      <c r="I1227" s="243"/>
      <c r="J1227" s="243"/>
      <c r="K1227" s="243"/>
      <c r="L1227" s="243"/>
      <c r="M1227" s="243"/>
    </row>
    <row r="1228" spans="1:13" x14ac:dyDescent="0.2">
      <c r="A1228" s="835">
        <v>53070</v>
      </c>
      <c r="B1228" s="808" t="s">
        <v>1711</v>
      </c>
      <c r="C1228" s="927"/>
      <c r="D1228" s="927">
        <f>'[15]Input Sheet'!Q834</f>
        <v>0</v>
      </c>
      <c r="E1228" s="927">
        <f>'[15]Input Sheet'!R834</f>
        <v>0</v>
      </c>
      <c r="F1228" s="911">
        <v>0</v>
      </c>
      <c r="G1228" s="836">
        <v>0</v>
      </c>
      <c r="H1228" s="243"/>
      <c r="I1228" s="243"/>
      <c r="J1228" s="243"/>
      <c r="K1228" s="243"/>
      <c r="L1228" s="243"/>
      <c r="M1228" s="243"/>
    </row>
    <row r="1229" spans="1:13" x14ac:dyDescent="0.2">
      <c r="A1229" s="835">
        <v>53071</v>
      </c>
      <c r="B1229" s="1063" t="s">
        <v>1712</v>
      </c>
      <c r="C1229" s="1064"/>
      <c r="D1229" s="927">
        <f>'[15]Input Sheet'!Q835</f>
        <v>0</v>
      </c>
      <c r="E1229" s="927">
        <f>'[15]Input Sheet'!R835</f>
        <v>425.97326980000003</v>
      </c>
      <c r="F1229" s="911">
        <v>408.33225449999998</v>
      </c>
      <c r="G1229" s="836">
        <v>334.15589749999998</v>
      </c>
      <c r="H1229" s="243"/>
      <c r="I1229" s="243"/>
      <c r="J1229" s="243"/>
      <c r="K1229" s="243"/>
      <c r="L1229" s="243"/>
      <c r="M1229" s="243"/>
    </row>
    <row r="1230" spans="1:13" x14ac:dyDescent="0.2">
      <c r="A1230" s="835">
        <v>53072</v>
      </c>
      <c r="B1230" s="1063" t="s">
        <v>1713</v>
      </c>
      <c r="C1230" s="1064"/>
      <c r="D1230" s="927">
        <f>'[15]Input Sheet'!Q836</f>
        <v>0</v>
      </c>
      <c r="E1230" s="927">
        <f>'[15]Input Sheet'!R836</f>
        <v>1703.2922977000001</v>
      </c>
      <c r="F1230" s="911">
        <v>2000</v>
      </c>
      <c r="G1230" s="836">
        <v>500</v>
      </c>
      <c r="H1230" s="243"/>
      <c r="I1230" s="243"/>
      <c r="J1230" s="243"/>
      <c r="K1230" s="243"/>
      <c r="L1230" s="243"/>
      <c r="M1230" s="243"/>
    </row>
    <row r="1231" spans="1:13" x14ac:dyDescent="0.2">
      <c r="A1231" s="835">
        <f>'[15]Input Sheet'!D837</f>
        <v>53073</v>
      </c>
      <c r="B1231" s="1063" t="str">
        <f>'[15]Input Sheet'!E837</f>
        <v>PFC LTL-21540002 (Project-Gare Palma)</v>
      </c>
      <c r="C1231" s="1064"/>
      <c r="D1231" s="927">
        <f>'[15]Input Sheet'!Q837</f>
        <v>0</v>
      </c>
      <c r="E1231" s="927">
        <f>'[15]Input Sheet'!R837</f>
        <v>180</v>
      </c>
      <c r="F1231" s="911">
        <v>75</v>
      </c>
      <c r="H1231" s="243"/>
      <c r="I1231" s="243"/>
      <c r="J1231" s="243"/>
      <c r="K1231" s="243"/>
      <c r="L1231" s="243"/>
      <c r="M1231" s="243"/>
    </row>
    <row r="1232" spans="1:13" x14ac:dyDescent="0.2">
      <c r="A1232" s="835">
        <f>'[15]Input Sheet'!D838</f>
        <v>53074</v>
      </c>
      <c r="B1232" s="1063" t="str">
        <f>'[15]Input Sheet'!E838</f>
        <v>PFC LTL-21504090 (Capex-Bhusawal TPS)</v>
      </c>
      <c r="C1232" s="1065"/>
      <c r="D1232" s="927">
        <f>'[15]Input Sheet'!Q838</f>
        <v>0</v>
      </c>
      <c r="E1232" s="927">
        <f>'[15]Input Sheet'!R838</f>
        <v>3.6241050000000001</v>
      </c>
      <c r="F1232" s="911">
        <v>1.2243516999999999</v>
      </c>
      <c r="H1232" s="243"/>
      <c r="I1232" s="243"/>
      <c r="J1232" s="243"/>
      <c r="K1232" s="243"/>
      <c r="L1232" s="243"/>
      <c r="M1232" s="243"/>
    </row>
    <row r="1233" spans="1:13" x14ac:dyDescent="0.2">
      <c r="A1233" s="835">
        <f>'[15]Input Sheet'!D839</f>
        <v>53075</v>
      </c>
      <c r="B1233" s="1063" t="str">
        <f>'[15]Input Sheet'!E839</f>
        <v>PFC LTL-21504091 (Capex-Nasik TPS)</v>
      </c>
      <c r="C1233" s="1065"/>
      <c r="D1233" s="927">
        <f>'[15]Input Sheet'!Q839</f>
        <v>0</v>
      </c>
      <c r="E1233" s="927">
        <f>'[15]Input Sheet'!R839</f>
        <v>1.7411399000000001</v>
      </c>
      <c r="F1233" s="911">
        <v>1.1248910000000001</v>
      </c>
      <c r="H1233" s="243"/>
      <c r="I1233" s="243"/>
      <c r="J1233" s="243"/>
      <c r="K1233" s="243"/>
      <c r="L1233" s="243"/>
      <c r="M1233" s="243"/>
    </row>
    <row r="1234" spans="1:13" x14ac:dyDescent="0.2">
      <c r="A1234" s="835">
        <v>53076</v>
      </c>
      <c r="B1234" s="1063" t="s">
        <v>1714</v>
      </c>
      <c r="C1234" s="1065"/>
      <c r="D1234" s="927">
        <f>'[15]Input Sheet'!Q840</f>
        <v>0</v>
      </c>
      <c r="E1234" s="927">
        <f>'[15]Input Sheet'!R840</f>
        <v>4.4467920000000003</v>
      </c>
      <c r="H1234" s="243"/>
      <c r="I1234" s="243"/>
      <c r="J1234" s="243"/>
      <c r="K1234" s="243"/>
      <c r="L1234" s="243"/>
      <c r="M1234" s="243"/>
    </row>
    <row r="1235" spans="1:13" x14ac:dyDescent="0.2">
      <c r="A1235" s="835">
        <v>53077</v>
      </c>
      <c r="B1235" s="1063" t="s">
        <v>1715</v>
      </c>
      <c r="C1235" s="1065"/>
      <c r="D1235" s="927">
        <f>'[15]Input Sheet'!Q841</f>
        <v>0</v>
      </c>
      <c r="E1235" s="927">
        <f>'[15]Input Sheet'!R841</f>
        <v>10.65</v>
      </c>
      <c r="H1235" s="243"/>
      <c r="I1235" s="243"/>
      <c r="J1235" s="243"/>
      <c r="K1235" s="243"/>
      <c r="L1235" s="243"/>
      <c r="M1235" s="243"/>
    </row>
    <row r="1236" spans="1:13" x14ac:dyDescent="0.2">
      <c r="A1236" s="835">
        <f>'[15]Input Sheet'!D842</f>
        <v>53081</v>
      </c>
      <c r="B1236" s="1063" t="str">
        <f>'[15]Input Sheet'!E842</f>
        <v>PFC LTL-21504097 (Capex-Pune REC circle</v>
      </c>
      <c r="C1236" s="1065"/>
      <c r="D1236" s="927">
        <f>'[15]Input Sheet'!Q842</f>
        <v>0</v>
      </c>
      <c r="E1236" s="927">
        <f>'[15]Input Sheet'!R842</f>
        <v>5.2247079000000003</v>
      </c>
      <c r="F1236" s="911">
        <v>0.2466449</v>
      </c>
      <c r="H1236" s="243"/>
      <c r="I1236" s="243"/>
      <c r="J1236" s="243"/>
      <c r="K1236" s="243"/>
      <c r="L1236" s="243"/>
      <c r="M1236" s="243"/>
    </row>
    <row r="1237" spans="1:13" x14ac:dyDescent="0.2">
      <c r="A1237" s="835">
        <v>53082</v>
      </c>
      <c r="B1237" s="1063" t="s">
        <v>1716</v>
      </c>
      <c r="C1237" s="1065"/>
      <c r="D1237" s="927">
        <f>'[15]Input Sheet'!Q843</f>
        <v>0</v>
      </c>
      <c r="E1237" s="927">
        <f>'[15]Input Sheet'!R843</f>
        <v>52.018154899999999</v>
      </c>
      <c r="H1237" s="243"/>
      <c r="I1237" s="243"/>
      <c r="J1237" s="243"/>
      <c r="K1237" s="243"/>
      <c r="L1237" s="243"/>
      <c r="M1237" s="243"/>
    </row>
    <row r="1238" spans="1:13" x14ac:dyDescent="0.2">
      <c r="A1238" s="835">
        <v>53083</v>
      </c>
      <c r="B1238" s="1063" t="s">
        <v>1717</v>
      </c>
      <c r="C1238" s="1065"/>
      <c r="D1238" s="927">
        <f>'[15]Input Sheet'!Q844</f>
        <v>0</v>
      </c>
      <c r="E1238" s="927">
        <f>'[15]Input Sheet'!R844</f>
        <v>45.52</v>
      </c>
      <c r="H1238" s="243"/>
      <c r="I1238" s="243"/>
      <c r="J1238" s="243"/>
      <c r="K1238" s="243"/>
      <c r="L1238" s="243"/>
      <c r="M1238" s="243"/>
    </row>
    <row r="1239" spans="1:13" x14ac:dyDescent="0.2">
      <c r="A1239" s="835">
        <v>53084</v>
      </c>
      <c r="B1239" s="1063" t="s">
        <v>1718</v>
      </c>
      <c r="C1239" s="1065"/>
      <c r="D1239" s="927">
        <f>'[15]Input Sheet'!Q845</f>
        <v>0</v>
      </c>
      <c r="E1239" s="927">
        <f>'[15]Input Sheet'!R845</f>
        <v>96.199848000000003</v>
      </c>
      <c r="H1239" s="243"/>
      <c r="I1239" s="243"/>
      <c r="J1239" s="243"/>
      <c r="K1239" s="243"/>
      <c r="L1239" s="243"/>
      <c r="M1239" s="243"/>
    </row>
    <row r="1240" spans="1:13" x14ac:dyDescent="0.2">
      <c r="A1240" s="835">
        <v>53085</v>
      </c>
      <c r="B1240" s="927" t="s">
        <v>1719</v>
      </c>
      <c r="C1240" s="1065"/>
      <c r="D1240" s="927">
        <f>'[15]Input Sheet'!Q846</f>
        <v>0</v>
      </c>
      <c r="E1240" s="927">
        <f>'[15]Input Sheet'!R846</f>
        <v>14.232575900000001</v>
      </c>
      <c r="H1240" s="243"/>
      <c r="I1240" s="243"/>
      <c r="J1240" s="243"/>
      <c r="K1240" s="243"/>
      <c r="L1240" s="243"/>
      <c r="M1240" s="243"/>
    </row>
    <row r="1241" spans="1:13" x14ac:dyDescent="0.2">
      <c r="A1241" s="835">
        <v>53595</v>
      </c>
      <c r="B1241" s="1066" t="s">
        <v>1720</v>
      </c>
      <c r="C1241" s="927"/>
      <c r="D1241" s="927">
        <f>'[15]Input Sheet'!Q1048</f>
        <v>0</v>
      </c>
      <c r="E1241" s="927">
        <f>'[15]Input Sheet'!R1048</f>
        <v>1799.9999909999999</v>
      </c>
    </row>
    <row r="1242" spans="1:13" x14ac:dyDescent="0.2">
      <c r="A1242" s="835">
        <v>53596</v>
      </c>
      <c r="B1242" s="927" t="s">
        <v>1721</v>
      </c>
      <c r="C1242" s="927"/>
      <c r="D1242" s="927">
        <f>'[15]Input Sheet'!Q1049</f>
        <v>0</v>
      </c>
      <c r="E1242" s="927">
        <f>'[15]Input Sheet'!R1049</f>
        <v>2.5758E-2</v>
      </c>
    </row>
    <row r="1243" spans="1:13" x14ac:dyDescent="0.2">
      <c r="A1243" s="835">
        <v>53597</v>
      </c>
      <c r="B1243" s="927" t="s">
        <v>1722</v>
      </c>
      <c r="C1243" s="927"/>
      <c r="D1243" s="927">
        <f>'[15]Input Sheet'!Q1050</f>
        <v>0</v>
      </c>
      <c r="E1243" s="927">
        <f>'[15]Input Sheet'!R1050</f>
        <v>2.66378E-2</v>
      </c>
    </row>
    <row r="1244" spans="1:13" x14ac:dyDescent="0.2">
      <c r="A1244" s="835">
        <f>+'[15]Input Sheet'!D1051</f>
        <v>53598</v>
      </c>
      <c r="B1244" s="1067" t="str">
        <f>+'[15]Input Sheet'!E1051</f>
        <v>PFC LTL-21504104 (ESP Chandrapur STPS U</v>
      </c>
      <c r="C1244" s="927"/>
      <c r="D1244" s="927">
        <f>'[15]Input Sheet'!Q1051</f>
        <v>0</v>
      </c>
      <c r="E1244" s="927">
        <f>'[15]Input Sheet'!R1051</f>
        <v>4.7787411000000004</v>
      </c>
    </row>
    <row r="1245" spans="1:13" x14ac:dyDescent="0.2">
      <c r="A1245" s="835">
        <f>+'[15]Input Sheet'!D1052</f>
        <v>53599</v>
      </c>
      <c r="B1245" s="1067" t="str">
        <f>+'[15]Input Sheet'!E1052</f>
        <v>PFC LTL-21504105 (ESP Chandrapur STPS U</v>
      </c>
      <c r="C1245" s="927"/>
      <c r="D1245" s="927">
        <f>'[15]Input Sheet'!Q1052</f>
        <v>0</v>
      </c>
      <c r="E1245" s="927">
        <f>'[15]Input Sheet'!R1052</f>
        <v>30.5247727</v>
      </c>
      <c r="F1245" s="911">
        <v>0</v>
      </c>
      <c r="G1245" s="836">
        <v>500</v>
      </c>
    </row>
    <row r="1246" spans="1:13" x14ac:dyDescent="0.2">
      <c r="A1246" s="835">
        <v>53600</v>
      </c>
      <c r="B1246" s="1066" t="s">
        <v>1723</v>
      </c>
      <c r="C1246" s="927"/>
      <c r="D1246" s="927">
        <f>'[15]Input Sheet'!Q1053</f>
        <v>0</v>
      </c>
      <c r="E1246" s="927">
        <f>'[15]Input Sheet'!R1053</f>
        <v>500</v>
      </c>
    </row>
    <row r="1247" spans="1:13" x14ac:dyDescent="0.2">
      <c r="A1247" s="835">
        <v>53601</v>
      </c>
      <c r="B1247" s="808" t="s">
        <v>1724</v>
      </c>
      <c r="D1247" s="927">
        <f>'[15]Input Sheet'!Q1054</f>
        <v>0</v>
      </c>
      <c r="E1247" s="927">
        <f>'[15]Input Sheet'!R1054</f>
        <v>449</v>
      </c>
    </row>
    <row r="1248" spans="1:13" x14ac:dyDescent="0.2">
      <c r="C1248" s="927"/>
      <c r="D1248" s="1068">
        <f>SUM(D1159:D1240)</f>
        <v>0</v>
      </c>
      <c r="E1248" s="1068">
        <f>SUM(E1159:E1247)</f>
        <v>11219.830783500003</v>
      </c>
      <c r="F1248" s="1068">
        <f t="shared" ref="F1248:G1248" si="0">SUM(F1159:F1240)</f>
        <v>10286.862865399999</v>
      </c>
      <c r="G1248" s="1068">
        <f t="shared" si="0"/>
        <v>9522.3893246999996</v>
      </c>
      <c r="H1248" s="243"/>
      <c r="I1248" s="243"/>
      <c r="J1248" s="243"/>
      <c r="K1248" s="243"/>
      <c r="L1248" s="243"/>
      <c r="M1248" s="243"/>
    </row>
    <row r="1249" spans="1:13" x14ac:dyDescent="0.2">
      <c r="B1249" s="1061" t="s">
        <v>1725</v>
      </c>
      <c r="C1249" s="1006"/>
      <c r="D1249" s="927"/>
      <c r="H1249" s="243"/>
      <c r="I1249" s="243"/>
      <c r="J1249" s="243"/>
      <c r="K1249" s="243"/>
      <c r="L1249" s="243"/>
      <c r="M1249" s="243"/>
    </row>
    <row r="1250" spans="1:13" x14ac:dyDescent="0.2">
      <c r="A1250" s="835">
        <v>53501</v>
      </c>
      <c r="B1250" s="808" t="s">
        <v>1726</v>
      </c>
      <c r="C1250" s="927"/>
      <c r="D1250" s="927">
        <f>'[15]Input Sheet'!Q979</f>
        <v>0</v>
      </c>
      <c r="E1250" s="927">
        <f>'[15]Input Sheet'!R979</f>
        <v>0</v>
      </c>
      <c r="F1250" s="911">
        <v>0</v>
      </c>
      <c r="G1250" s="836">
        <v>0</v>
      </c>
      <c r="H1250" s="243"/>
      <c r="I1250" s="243"/>
      <c r="J1250" s="243"/>
      <c r="K1250" s="243"/>
      <c r="L1250" s="243"/>
      <c r="M1250" s="243"/>
    </row>
    <row r="1251" spans="1:13" x14ac:dyDescent="0.2">
      <c r="A1251" s="835">
        <v>53502</v>
      </c>
      <c r="B1251" s="808" t="s">
        <v>1727</v>
      </c>
      <c r="C1251" s="927"/>
      <c r="D1251" s="927">
        <f>'[15]Input Sheet'!Q980</f>
        <v>0</v>
      </c>
      <c r="E1251" s="927">
        <f>'[15]Input Sheet'!R980</f>
        <v>0</v>
      </c>
      <c r="F1251" s="911">
        <v>0</v>
      </c>
      <c r="G1251" s="836">
        <v>0</v>
      </c>
      <c r="H1251" s="243"/>
      <c r="I1251" s="243"/>
      <c r="J1251" s="243"/>
      <c r="K1251" s="243"/>
      <c r="L1251" s="243"/>
      <c r="M1251" s="243"/>
    </row>
    <row r="1252" spans="1:13" x14ac:dyDescent="0.2">
      <c r="A1252" s="835">
        <v>53503</v>
      </c>
      <c r="B1252" s="808" t="s">
        <v>1728</v>
      </c>
      <c r="C1252" s="927"/>
      <c r="D1252" s="927">
        <f>'[15]Input Sheet'!Q981</f>
        <v>0</v>
      </c>
      <c r="E1252" s="927">
        <f>'[15]Input Sheet'!R981</f>
        <v>0</v>
      </c>
      <c r="F1252" s="911">
        <v>0</v>
      </c>
      <c r="G1252" s="836">
        <v>0</v>
      </c>
      <c r="H1252" s="243"/>
      <c r="I1252" s="243"/>
      <c r="J1252" s="243"/>
      <c r="K1252" s="243"/>
      <c r="L1252" s="243"/>
      <c r="M1252" s="243"/>
    </row>
    <row r="1253" spans="1:13" x14ac:dyDescent="0.2">
      <c r="A1253" s="835">
        <v>53504</v>
      </c>
      <c r="B1253" s="808" t="s">
        <v>1643</v>
      </c>
      <c r="C1253" s="927"/>
      <c r="D1253" s="927">
        <f>'[15]Input Sheet'!Q982</f>
        <v>0</v>
      </c>
      <c r="E1253" s="927">
        <f>'[15]Input Sheet'!R982</f>
        <v>0</v>
      </c>
      <c r="F1253" s="911">
        <v>0</v>
      </c>
      <c r="G1253" s="836">
        <v>0</v>
      </c>
      <c r="H1253" s="243"/>
      <c r="I1253" s="243"/>
      <c r="J1253" s="243"/>
      <c r="K1253" s="243"/>
      <c r="L1253" s="243"/>
      <c r="M1253" s="243"/>
    </row>
    <row r="1254" spans="1:13" x14ac:dyDescent="0.2">
      <c r="A1254" s="835">
        <v>53505</v>
      </c>
      <c r="B1254" s="808" t="s">
        <v>1729</v>
      </c>
      <c r="C1254" s="927"/>
      <c r="D1254" s="927">
        <f>'[15]Input Sheet'!Q983</f>
        <v>0</v>
      </c>
      <c r="E1254" s="927">
        <f>'[15]Input Sheet'!R983</f>
        <v>0</v>
      </c>
      <c r="F1254" s="911">
        <v>0</v>
      </c>
      <c r="G1254" s="836">
        <v>0</v>
      </c>
      <c r="H1254" s="243"/>
      <c r="I1254" s="243"/>
      <c r="J1254" s="243"/>
      <c r="K1254" s="243"/>
      <c r="L1254" s="243"/>
      <c r="M1254" s="243"/>
    </row>
    <row r="1255" spans="1:13" x14ac:dyDescent="0.2">
      <c r="A1255" s="835">
        <v>53506</v>
      </c>
      <c r="B1255" s="808" t="s">
        <v>1730</v>
      </c>
      <c r="C1255" s="927"/>
      <c r="D1255" s="927">
        <f>'[15]Input Sheet'!Q984</f>
        <v>0</v>
      </c>
      <c r="E1255" s="927">
        <f>'[15]Input Sheet'!R984</f>
        <v>0</v>
      </c>
      <c r="F1255" s="911">
        <v>0</v>
      </c>
      <c r="G1255" s="836">
        <v>0</v>
      </c>
      <c r="H1255" s="243"/>
      <c r="I1255" s="243"/>
      <c r="J1255" s="243"/>
      <c r="K1255" s="243"/>
      <c r="L1255" s="243"/>
      <c r="M1255" s="243"/>
    </row>
    <row r="1256" spans="1:13" x14ac:dyDescent="0.2">
      <c r="A1256" s="835">
        <v>53507</v>
      </c>
      <c r="B1256" s="808" t="s">
        <v>1731</v>
      </c>
      <c r="C1256" s="927"/>
      <c r="D1256" s="927">
        <f>'[15]Input Sheet'!Q985</f>
        <v>0</v>
      </c>
      <c r="E1256" s="927">
        <f>'[15]Input Sheet'!R985</f>
        <v>0</v>
      </c>
      <c r="F1256" s="911">
        <v>0</v>
      </c>
      <c r="G1256" s="836">
        <v>0</v>
      </c>
      <c r="H1256" s="243"/>
      <c r="I1256" s="243"/>
      <c r="J1256" s="243"/>
      <c r="K1256" s="243"/>
      <c r="L1256" s="243"/>
      <c r="M1256" s="243"/>
    </row>
    <row r="1257" spans="1:13" x14ac:dyDescent="0.2">
      <c r="A1257" s="835">
        <v>53508</v>
      </c>
      <c r="B1257" s="808" t="s">
        <v>1732</v>
      </c>
      <c r="C1257" s="927"/>
      <c r="D1257" s="927">
        <f>'[15]Input Sheet'!Q986</f>
        <v>0</v>
      </c>
      <c r="E1257" s="927">
        <f>'[15]Input Sheet'!R986</f>
        <v>0</v>
      </c>
      <c r="F1257" s="911">
        <v>0</v>
      </c>
      <c r="G1257" s="836">
        <v>0</v>
      </c>
      <c r="H1257" s="243"/>
      <c r="I1257" s="243"/>
      <c r="J1257" s="243"/>
      <c r="K1257" s="243"/>
      <c r="L1257" s="243"/>
      <c r="M1257" s="243"/>
    </row>
    <row r="1258" spans="1:13" x14ac:dyDescent="0.2">
      <c r="A1258" s="835">
        <v>53509</v>
      </c>
      <c r="B1258" s="808" t="s">
        <v>1733</v>
      </c>
      <c r="C1258" s="927"/>
      <c r="D1258" s="927">
        <f>'[15]Input Sheet'!Q987</f>
        <v>0</v>
      </c>
      <c r="E1258" s="927">
        <f>'[15]Input Sheet'!R987</f>
        <v>0</v>
      </c>
      <c r="F1258" s="911">
        <v>0</v>
      </c>
      <c r="G1258" s="836">
        <v>0</v>
      </c>
      <c r="H1258" s="243"/>
      <c r="I1258" s="243"/>
      <c r="J1258" s="243"/>
      <c r="K1258" s="243"/>
      <c r="L1258" s="243"/>
      <c r="M1258" s="243"/>
    </row>
    <row r="1259" spans="1:13" x14ac:dyDescent="0.2">
      <c r="A1259" s="835">
        <v>53510</v>
      </c>
      <c r="B1259" s="808" t="s">
        <v>1734</v>
      </c>
      <c r="C1259" s="927"/>
      <c r="D1259" s="927">
        <f>'[15]Input Sheet'!Q988</f>
        <v>0</v>
      </c>
      <c r="E1259" s="927">
        <f>'[15]Input Sheet'!R988</f>
        <v>0</v>
      </c>
      <c r="F1259" s="911">
        <v>0</v>
      </c>
      <c r="G1259" s="836">
        <v>0</v>
      </c>
      <c r="H1259" s="243"/>
      <c r="I1259" s="243"/>
      <c r="J1259" s="243"/>
      <c r="K1259" s="243"/>
      <c r="L1259" s="243"/>
      <c r="M1259" s="243"/>
    </row>
    <row r="1260" spans="1:13" x14ac:dyDescent="0.2">
      <c r="A1260" s="835">
        <v>53511</v>
      </c>
      <c r="B1260" s="808" t="s">
        <v>1735</v>
      </c>
      <c r="C1260" s="927"/>
      <c r="D1260" s="927">
        <f>'[15]Input Sheet'!Q989</f>
        <v>0</v>
      </c>
      <c r="E1260" s="927">
        <f>'[15]Input Sheet'!R989</f>
        <v>0</v>
      </c>
      <c r="F1260" s="911">
        <v>0</v>
      </c>
      <c r="G1260" s="836">
        <v>0</v>
      </c>
      <c r="H1260" s="243"/>
      <c r="I1260" s="243"/>
      <c r="J1260" s="243"/>
      <c r="K1260" s="243"/>
      <c r="L1260" s="243"/>
      <c r="M1260" s="243"/>
    </row>
    <row r="1261" spans="1:13" x14ac:dyDescent="0.2">
      <c r="A1261" s="835">
        <v>53512</v>
      </c>
      <c r="B1261" s="808" t="s">
        <v>1736</v>
      </c>
      <c r="C1261" s="927"/>
      <c r="D1261" s="927">
        <f>'[15]Input Sheet'!Q990</f>
        <v>0</v>
      </c>
      <c r="E1261" s="927">
        <f>'[15]Input Sheet'!R990</f>
        <v>0</v>
      </c>
      <c r="F1261" s="911">
        <v>0</v>
      </c>
      <c r="G1261" s="836">
        <v>0</v>
      </c>
      <c r="H1261" s="243"/>
      <c r="I1261" s="243"/>
      <c r="J1261" s="243"/>
      <c r="K1261" s="243"/>
      <c r="L1261" s="243"/>
      <c r="M1261" s="243"/>
    </row>
    <row r="1262" spans="1:13" x14ac:dyDescent="0.2">
      <c r="A1262" s="835">
        <v>53513</v>
      </c>
      <c r="B1262" s="808" t="s">
        <v>1737</v>
      </c>
      <c r="C1262" s="927"/>
      <c r="D1262" s="927">
        <f>'[15]Input Sheet'!Q991</f>
        <v>0</v>
      </c>
      <c r="E1262" s="927">
        <f>'[15]Input Sheet'!R991</f>
        <v>0</v>
      </c>
      <c r="F1262" s="911">
        <v>0</v>
      </c>
      <c r="G1262" s="836">
        <v>0</v>
      </c>
      <c r="H1262" s="243"/>
      <c r="I1262" s="243"/>
      <c r="J1262" s="243"/>
      <c r="K1262" s="243"/>
      <c r="L1262" s="243"/>
      <c r="M1262" s="243"/>
    </row>
    <row r="1263" spans="1:13" x14ac:dyDescent="0.2">
      <c r="A1263" s="835">
        <v>53514</v>
      </c>
      <c r="B1263" s="808" t="s">
        <v>1738</v>
      </c>
      <c r="C1263" s="927"/>
      <c r="D1263" s="927">
        <f>'[15]Input Sheet'!Q992</f>
        <v>0</v>
      </c>
      <c r="E1263" s="927">
        <f>'[15]Input Sheet'!R992</f>
        <v>0</v>
      </c>
      <c r="F1263" s="911">
        <v>0</v>
      </c>
      <c r="G1263" s="836">
        <v>0</v>
      </c>
      <c r="H1263" s="243"/>
      <c r="I1263" s="243"/>
      <c r="J1263" s="243"/>
      <c r="K1263" s="243"/>
      <c r="L1263" s="243"/>
      <c r="M1263" s="243"/>
    </row>
    <row r="1264" spans="1:13" x14ac:dyDescent="0.2">
      <c r="A1264" s="835">
        <v>53515</v>
      </c>
      <c r="B1264" s="808" t="s">
        <v>1739</v>
      </c>
      <c r="C1264" s="927"/>
      <c r="D1264" s="927">
        <f>'[15]Input Sheet'!Q993</f>
        <v>0</v>
      </c>
      <c r="E1264" s="927">
        <f>'[15]Input Sheet'!R993</f>
        <v>0</v>
      </c>
      <c r="F1264" s="911">
        <v>0</v>
      </c>
      <c r="G1264" s="836">
        <v>0</v>
      </c>
      <c r="H1264" s="243"/>
      <c r="I1264" s="243"/>
      <c r="J1264" s="243"/>
      <c r="K1264" s="243"/>
      <c r="L1264" s="243"/>
      <c r="M1264" s="243"/>
    </row>
    <row r="1265" spans="1:13" x14ac:dyDescent="0.2">
      <c r="A1265" s="835">
        <v>53516</v>
      </c>
      <c r="B1265" s="808" t="s">
        <v>1740</v>
      </c>
      <c r="C1265" s="927"/>
      <c r="D1265" s="927">
        <f>'[15]Input Sheet'!Q994</f>
        <v>0</v>
      </c>
      <c r="E1265" s="927">
        <f>'[15]Input Sheet'!R994</f>
        <v>0</v>
      </c>
      <c r="F1265" s="911">
        <v>0</v>
      </c>
      <c r="G1265" s="836">
        <v>0</v>
      </c>
      <c r="H1265" s="243"/>
      <c r="I1265" s="243"/>
      <c r="J1265" s="243"/>
      <c r="K1265" s="243"/>
      <c r="L1265" s="243"/>
      <c r="M1265" s="243"/>
    </row>
    <row r="1266" spans="1:13" x14ac:dyDescent="0.2">
      <c r="A1266" s="835">
        <v>53517</v>
      </c>
      <c r="B1266" s="808" t="s">
        <v>1741</v>
      </c>
      <c r="C1266" s="927"/>
      <c r="D1266" s="927">
        <f>'[15]Input Sheet'!Q995</f>
        <v>0</v>
      </c>
      <c r="E1266" s="927">
        <f>'[15]Input Sheet'!R995</f>
        <v>0</v>
      </c>
      <c r="F1266" s="911">
        <v>0</v>
      </c>
      <c r="G1266" s="836">
        <v>0</v>
      </c>
      <c r="H1266" s="243"/>
      <c r="I1266" s="243"/>
      <c r="J1266" s="243"/>
      <c r="K1266" s="243"/>
      <c r="L1266" s="243"/>
      <c r="M1266" s="243"/>
    </row>
    <row r="1267" spans="1:13" x14ac:dyDescent="0.2">
      <c r="A1267" s="835">
        <v>53518</v>
      </c>
      <c r="B1267" s="808" t="s">
        <v>1742</v>
      </c>
      <c r="C1267" s="927"/>
      <c r="D1267" s="927">
        <f>'[15]Input Sheet'!Q996</f>
        <v>0</v>
      </c>
      <c r="E1267" s="927">
        <f>'[15]Input Sheet'!R996</f>
        <v>0</v>
      </c>
      <c r="F1267" s="911">
        <v>0</v>
      </c>
      <c r="G1267" s="836">
        <v>0</v>
      </c>
      <c r="H1267" s="243"/>
      <c r="I1267" s="243"/>
      <c r="J1267" s="243"/>
      <c r="K1267" s="243"/>
      <c r="L1267" s="243"/>
      <c r="M1267" s="243"/>
    </row>
    <row r="1268" spans="1:13" x14ac:dyDescent="0.2">
      <c r="A1268" s="835">
        <v>53519</v>
      </c>
      <c r="B1268" s="808" t="s">
        <v>1743</v>
      </c>
      <c r="C1268" s="927"/>
      <c r="D1268" s="927">
        <f>'[15]Input Sheet'!Q997</f>
        <v>0</v>
      </c>
      <c r="E1268" s="927">
        <f>'[15]Input Sheet'!R997</f>
        <v>0</v>
      </c>
      <c r="F1268" s="911">
        <v>0</v>
      </c>
      <c r="G1268" s="836">
        <v>0</v>
      </c>
      <c r="H1268" s="243"/>
      <c r="I1268" s="243"/>
      <c r="J1268" s="243"/>
      <c r="K1268" s="243"/>
      <c r="L1268" s="243"/>
      <c r="M1268" s="243"/>
    </row>
    <row r="1269" spans="1:13" x14ac:dyDescent="0.2">
      <c r="A1269" s="835">
        <v>53520</v>
      </c>
      <c r="B1269" s="808" t="s">
        <v>1744</v>
      </c>
      <c r="C1269" s="927"/>
      <c r="D1269" s="927">
        <f>'[15]Input Sheet'!Q998</f>
        <v>0</v>
      </c>
      <c r="E1269" s="927">
        <f>'[15]Input Sheet'!R998</f>
        <v>0</v>
      </c>
      <c r="F1269" s="911">
        <v>0</v>
      </c>
      <c r="G1269" s="836">
        <v>0</v>
      </c>
      <c r="H1269" s="243"/>
      <c r="I1269" s="243"/>
      <c r="J1269" s="243"/>
      <c r="K1269" s="243"/>
      <c r="L1269" s="243"/>
      <c r="M1269" s="243"/>
    </row>
    <row r="1270" spans="1:13" x14ac:dyDescent="0.2">
      <c r="A1270" s="835">
        <v>53521</v>
      </c>
      <c r="B1270" s="808" t="s">
        <v>1745</v>
      </c>
      <c r="C1270" s="927"/>
      <c r="D1270" s="927">
        <f>'[15]Input Sheet'!Q999</f>
        <v>0</v>
      </c>
      <c r="E1270" s="927">
        <f>'[15]Input Sheet'!R999</f>
        <v>0</v>
      </c>
      <c r="F1270" s="911">
        <v>0</v>
      </c>
      <c r="G1270" s="836">
        <v>0</v>
      </c>
      <c r="H1270" s="243"/>
      <c r="I1270" s="243"/>
      <c r="J1270" s="243"/>
      <c r="K1270" s="243"/>
      <c r="L1270" s="243"/>
      <c r="M1270" s="243"/>
    </row>
    <row r="1271" spans="1:13" x14ac:dyDescent="0.2">
      <c r="A1271" s="835">
        <v>53522</v>
      </c>
      <c r="B1271" s="808" t="s">
        <v>1746</v>
      </c>
      <c r="C1271" s="927"/>
      <c r="D1271" s="927">
        <f>'[15]Input Sheet'!Q1000</f>
        <v>0</v>
      </c>
      <c r="E1271" s="927">
        <f>'[15]Input Sheet'!R1000</f>
        <v>0</v>
      </c>
      <c r="F1271" s="911">
        <v>0</v>
      </c>
      <c r="G1271" s="836">
        <v>0</v>
      </c>
      <c r="H1271" s="243"/>
      <c r="I1271" s="243"/>
      <c r="J1271" s="243"/>
      <c r="K1271" s="243"/>
      <c r="L1271" s="243"/>
      <c r="M1271" s="243"/>
    </row>
    <row r="1272" spans="1:13" x14ac:dyDescent="0.2">
      <c r="A1272" s="835">
        <v>53523</v>
      </c>
      <c r="B1272" s="808" t="s">
        <v>1747</v>
      </c>
      <c r="C1272" s="927"/>
      <c r="D1272" s="927">
        <f>'[15]Input Sheet'!Q1001</f>
        <v>0</v>
      </c>
      <c r="E1272" s="927">
        <f>'[15]Input Sheet'!R1001</f>
        <v>0</v>
      </c>
      <c r="F1272" s="911">
        <v>0</v>
      </c>
      <c r="G1272" s="836">
        <v>0</v>
      </c>
      <c r="H1272" s="243"/>
      <c r="I1272" s="243"/>
      <c r="J1272" s="243"/>
      <c r="K1272" s="243"/>
      <c r="L1272" s="243"/>
      <c r="M1272" s="243"/>
    </row>
    <row r="1273" spans="1:13" x14ac:dyDescent="0.2">
      <c r="A1273" s="835">
        <v>53524</v>
      </c>
      <c r="B1273" s="808" t="s">
        <v>1748</v>
      </c>
      <c r="C1273" s="927"/>
      <c r="D1273" s="927">
        <f>'[15]Input Sheet'!Q1002</f>
        <v>0</v>
      </c>
      <c r="E1273" s="927">
        <f>'[15]Input Sheet'!R1002</f>
        <v>0</v>
      </c>
      <c r="F1273" s="911">
        <v>0</v>
      </c>
      <c r="G1273" s="836">
        <v>0</v>
      </c>
      <c r="H1273" s="243"/>
      <c r="I1273" s="243"/>
      <c r="J1273" s="243"/>
      <c r="K1273" s="243"/>
      <c r="L1273" s="243"/>
      <c r="M1273" s="243"/>
    </row>
    <row r="1274" spans="1:13" x14ac:dyDescent="0.2">
      <c r="A1274" s="835">
        <v>53525</v>
      </c>
      <c r="B1274" s="808" t="s">
        <v>1749</v>
      </c>
      <c r="C1274" s="927"/>
      <c r="D1274" s="927">
        <f>'[15]Input Sheet'!Q1003</f>
        <v>0</v>
      </c>
      <c r="E1274" s="927">
        <f>'[15]Input Sheet'!R1003</f>
        <v>0</v>
      </c>
      <c r="F1274" s="911">
        <v>0</v>
      </c>
      <c r="G1274" s="836">
        <v>0</v>
      </c>
      <c r="H1274" s="243"/>
      <c r="I1274" s="243"/>
      <c r="J1274" s="243"/>
      <c r="K1274" s="243"/>
      <c r="L1274" s="243"/>
      <c r="M1274" s="243"/>
    </row>
    <row r="1275" spans="1:13" x14ac:dyDescent="0.2">
      <c r="A1275" s="835">
        <v>53526</v>
      </c>
      <c r="B1275" s="808" t="s">
        <v>1750</v>
      </c>
      <c r="C1275" s="927"/>
      <c r="D1275" s="927">
        <f>'[15]Input Sheet'!Q1004</f>
        <v>0</v>
      </c>
      <c r="E1275" s="927">
        <f>'[15]Input Sheet'!R1004</f>
        <v>0</v>
      </c>
      <c r="F1275" s="911">
        <v>0</v>
      </c>
      <c r="G1275" s="836">
        <v>0</v>
      </c>
      <c r="H1275" s="243"/>
      <c r="I1275" s="243"/>
      <c r="J1275" s="243"/>
      <c r="K1275" s="243"/>
      <c r="L1275" s="243"/>
      <c r="M1275" s="243"/>
    </row>
    <row r="1276" spans="1:13" x14ac:dyDescent="0.2">
      <c r="A1276" s="835">
        <v>53527</v>
      </c>
      <c r="B1276" s="808" t="s">
        <v>1751</v>
      </c>
      <c r="C1276" s="927"/>
      <c r="D1276" s="927">
        <f>'[15]Input Sheet'!Q1005</f>
        <v>0</v>
      </c>
      <c r="E1276" s="927">
        <f>'[15]Input Sheet'!R1005</f>
        <v>0</v>
      </c>
      <c r="F1276" s="911">
        <v>0</v>
      </c>
      <c r="G1276" s="836">
        <v>0</v>
      </c>
      <c r="H1276" s="243"/>
      <c r="I1276" s="243"/>
      <c r="J1276" s="243"/>
      <c r="K1276" s="243"/>
      <c r="L1276" s="243"/>
      <c r="M1276" s="243"/>
    </row>
    <row r="1277" spans="1:13" x14ac:dyDescent="0.2">
      <c r="A1277" s="835">
        <v>53528</v>
      </c>
      <c r="B1277" s="808" t="s">
        <v>1752</v>
      </c>
      <c r="C1277" s="927"/>
      <c r="D1277" s="927">
        <f>'[15]Input Sheet'!Q1006</f>
        <v>0</v>
      </c>
      <c r="E1277" s="927">
        <f>'[15]Input Sheet'!R1006</f>
        <v>0</v>
      </c>
      <c r="F1277" s="911">
        <v>0</v>
      </c>
      <c r="G1277" s="836">
        <v>0</v>
      </c>
      <c r="H1277" s="243"/>
      <c r="I1277" s="243"/>
      <c r="J1277" s="243"/>
      <c r="K1277" s="243"/>
      <c r="L1277" s="243"/>
      <c r="M1277" s="243"/>
    </row>
    <row r="1278" spans="1:13" x14ac:dyDescent="0.2">
      <c r="A1278" s="835">
        <v>53529</v>
      </c>
      <c r="B1278" s="808" t="s">
        <v>1753</v>
      </c>
      <c r="C1278" s="927"/>
      <c r="D1278" s="927">
        <f>'[15]Input Sheet'!Q1007</f>
        <v>0</v>
      </c>
      <c r="E1278" s="927">
        <f>'[15]Input Sheet'!R1007</f>
        <v>0</v>
      </c>
      <c r="F1278" s="911">
        <v>0</v>
      </c>
      <c r="G1278" s="836">
        <v>0</v>
      </c>
      <c r="H1278" s="243"/>
      <c r="I1278" s="243"/>
      <c r="J1278" s="243"/>
      <c r="K1278" s="243"/>
      <c r="L1278" s="243"/>
      <c r="M1278" s="243"/>
    </row>
    <row r="1279" spans="1:13" x14ac:dyDescent="0.2">
      <c r="A1279" s="835">
        <v>53530</v>
      </c>
      <c r="B1279" s="808" t="s">
        <v>1754</v>
      </c>
      <c r="C1279" s="927"/>
      <c r="D1279" s="927">
        <f>'[15]Input Sheet'!Q1008</f>
        <v>0</v>
      </c>
      <c r="E1279" s="927">
        <f>'[15]Input Sheet'!R1008</f>
        <v>0</v>
      </c>
      <c r="F1279" s="911">
        <v>0</v>
      </c>
      <c r="G1279" s="836">
        <v>0</v>
      </c>
      <c r="H1279" s="243"/>
      <c r="I1279" s="243"/>
      <c r="J1279" s="243"/>
      <c r="K1279" s="243"/>
      <c r="L1279" s="243"/>
      <c r="M1279" s="243"/>
    </row>
    <row r="1280" spans="1:13" x14ac:dyDescent="0.2">
      <c r="A1280" s="835">
        <v>53531</v>
      </c>
      <c r="B1280" s="808" t="s">
        <v>1755</v>
      </c>
      <c r="C1280" s="927"/>
      <c r="D1280" s="927">
        <f>'[15]Input Sheet'!Q1009</f>
        <v>0</v>
      </c>
      <c r="E1280" s="927">
        <f>'[15]Input Sheet'!R1009</f>
        <v>0</v>
      </c>
      <c r="F1280" s="911">
        <v>0</v>
      </c>
      <c r="G1280" s="836">
        <v>0</v>
      </c>
      <c r="H1280" s="243"/>
      <c r="I1280" s="243"/>
      <c r="J1280" s="243"/>
      <c r="K1280" s="243"/>
      <c r="L1280" s="243"/>
      <c r="M1280" s="243"/>
    </row>
    <row r="1281" spans="1:13" x14ac:dyDescent="0.2">
      <c r="A1281" s="835">
        <v>53532</v>
      </c>
      <c r="B1281" s="808" t="s">
        <v>1756</v>
      </c>
      <c r="C1281" s="927"/>
      <c r="D1281" s="927">
        <f>'[15]Input Sheet'!Q1010</f>
        <v>0</v>
      </c>
      <c r="E1281" s="927">
        <f>'[15]Input Sheet'!R1010</f>
        <v>0</v>
      </c>
      <c r="F1281" s="911">
        <v>0</v>
      </c>
      <c r="G1281" s="836">
        <v>0</v>
      </c>
      <c r="H1281" s="243"/>
      <c r="I1281" s="243"/>
      <c r="J1281" s="243"/>
      <c r="K1281" s="243"/>
      <c r="L1281" s="243"/>
      <c r="M1281" s="243"/>
    </row>
    <row r="1282" spans="1:13" x14ac:dyDescent="0.2">
      <c r="A1282" s="835">
        <v>53533</v>
      </c>
      <c r="B1282" s="808" t="s">
        <v>1757</v>
      </c>
      <c r="C1282" s="927"/>
      <c r="D1282" s="927">
        <f>'[15]Input Sheet'!Q1011</f>
        <v>0</v>
      </c>
      <c r="E1282" s="927">
        <f>'[15]Input Sheet'!R1011</f>
        <v>0</v>
      </c>
      <c r="F1282" s="911">
        <v>0</v>
      </c>
      <c r="G1282" s="836">
        <v>0</v>
      </c>
      <c r="H1282" s="243"/>
      <c r="I1282" s="243"/>
      <c r="J1282" s="243"/>
      <c r="K1282" s="243"/>
      <c r="L1282" s="243"/>
      <c r="M1282" s="243"/>
    </row>
    <row r="1283" spans="1:13" x14ac:dyDescent="0.2">
      <c r="A1283" s="835">
        <v>53534</v>
      </c>
      <c r="B1283" s="808" t="s">
        <v>1758</v>
      </c>
      <c r="C1283" s="927"/>
      <c r="D1283" s="927">
        <f>'[15]Input Sheet'!Q1012</f>
        <v>0</v>
      </c>
      <c r="E1283" s="927">
        <f>'[15]Input Sheet'!R1012</f>
        <v>0</v>
      </c>
      <c r="F1283" s="911">
        <v>0</v>
      </c>
      <c r="G1283" s="836">
        <v>0</v>
      </c>
      <c r="H1283" s="243"/>
      <c r="I1283" s="243"/>
      <c r="J1283" s="243"/>
      <c r="K1283" s="243"/>
      <c r="L1283" s="243"/>
      <c r="M1283" s="243"/>
    </row>
    <row r="1284" spans="1:13" x14ac:dyDescent="0.2">
      <c r="B1284" s="1061" t="s">
        <v>7</v>
      </c>
      <c r="C1284" s="1006"/>
      <c r="D1284" s="1069">
        <f>SUM(D1250:D1283)</f>
        <v>0</v>
      </c>
      <c r="E1284" s="1068">
        <f>SUM(E1250:E1283)</f>
        <v>0</v>
      </c>
      <c r="F1284" s="1069">
        <f>SUM(F1250:F1283)</f>
        <v>0</v>
      </c>
      <c r="G1284" s="1070">
        <f>SUM(G1250:G1283)</f>
        <v>0</v>
      </c>
      <c r="H1284" s="243"/>
      <c r="I1284" s="243"/>
      <c r="J1284" s="243"/>
      <c r="K1284" s="243"/>
      <c r="L1284" s="243"/>
      <c r="M1284" s="243"/>
    </row>
    <row r="1285" spans="1:13" x14ac:dyDescent="0.2">
      <c r="C1285" s="927"/>
      <c r="D1285" s="927"/>
      <c r="H1285" s="243"/>
      <c r="I1285" s="243"/>
      <c r="J1285" s="243"/>
      <c r="K1285" s="243"/>
      <c r="L1285" s="243"/>
      <c r="M1285" s="243"/>
    </row>
    <row r="1286" spans="1:13" x14ac:dyDescent="0.2">
      <c r="C1286" s="927"/>
      <c r="D1286" s="927"/>
      <c r="H1286" s="243"/>
      <c r="I1286" s="243"/>
      <c r="J1286" s="243"/>
      <c r="K1286" s="243"/>
      <c r="L1286" s="243"/>
      <c r="M1286" s="243"/>
    </row>
    <row r="1287" spans="1:13" x14ac:dyDescent="0.2">
      <c r="A1287" s="835">
        <v>53301</v>
      </c>
      <c r="B1287" s="808" t="s">
        <v>1759</v>
      </c>
      <c r="C1287" s="927"/>
      <c r="D1287" s="927">
        <f>'[15]Input Sheet'!Q847</f>
        <v>0</v>
      </c>
      <c r="E1287" s="927">
        <f>'[15]Input Sheet'!R847</f>
        <v>1292.9743351</v>
      </c>
      <c r="F1287" s="911">
        <v>0</v>
      </c>
      <c r="G1287" s="836">
        <v>1723.9663146</v>
      </c>
      <c r="H1287" s="243"/>
      <c r="I1287" s="243"/>
      <c r="J1287" s="243"/>
      <c r="K1287" s="243"/>
      <c r="L1287" s="243"/>
      <c r="M1287" s="243"/>
    </row>
    <row r="1288" spans="1:13" x14ac:dyDescent="0.2">
      <c r="A1288" s="835">
        <v>53302</v>
      </c>
      <c r="B1288" s="808" t="s">
        <v>1760</v>
      </c>
      <c r="C1288" s="927"/>
      <c r="D1288" s="927">
        <f>'[15]Input Sheet'!Q848</f>
        <v>0</v>
      </c>
      <c r="E1288" s="927">
        <f>'[15]Input Sheet'!R848</f>
        <v>2452.2176064</v>
      </c>
      <c r="F1288" s="911">
        <v>0</v>
      </c>
      <c r="G1288" s="836">
        <v>2919.3066730999999</v>
      </c>
      <c r="H1288" s="243"/>
      <c r="I1288" s="243"/>
      <c r="J1288" s="243"/>
      <c r="K1288" s="243"/>
      <c r="L1288" s="243"/>
      <c r="M1288" s="243"/>
    </row>
    <row r="1289" spans="1:13" x14ac:dyDescent="0.2">
      <c r="A1289" s="835">
        <v>53303</v>
      </c>
      <c r="B1289" s="808" t="s">
        <v>1761</v>
      </c>
      <c r="C1289" s="927"/>
      <c r="D1289" s="927">
        <f>'[15]Input Sheet'!Q849</f>
        <v>0</v>
      </c>
      <c r="E1289" s="927">
        <f>'[15]Input Sheet'!R849</f>
        <v>684.71516659999998</v>
      </c>
      <c r="F1289" s="911">
        <v>0</v>
      </c>
      <c r="G1289" s="836">
        <v>821.65820010000004</v>
      </c>
      <c r="H1289" s="243"/>
      <c r="I1289" s="243"/>
      <c r="J1289" s="243"/>
      <c r="K1289" s="243"/>
      <c r="L1289" s="243"/>
      <c r="M1289" s="243"/>
    </row>
    <row r="1290" spans="1:13" x14ac:dyDescent="0.2">
      <c r="A1290" s="835">
        <v>53304</v>
      </c>
      <c r="B1290" s="808" t="s">
        <v>1762</v>
      </c>
      <c r="C1290" s="927"/>
      <c r="D1290" s="927">
        <f>'[15]Input Sheet'!Q850</f>
        <v>0</v>
      </c>
      <c r="E1290" s="927">
        <f>'[15]Input Sheet'!R850</f>
        <v>4.1258382999999998</v>
      </c>
      <c r="F1290" s="911">
        <v>0</v>
      </c>
      <c r="G1290" s="836">
        <v>5.1572978999999997</v>
      </c>
      <c r="H1290" s="243"/>
      <c r="I1290" s="243"/>
      <c r="J1290" s="243"/>
      <c r="K1290" s="243"/>
      <c r="L1290" s="243"/>
      <c r="M1290" s="243"/>
    </row>
    <row r="1291" spans="1:13" x14ac:dyDescent="0.2">
      <c r="A1291" s="835">
        <v>53305</v>
      </c>
      <c r="B1291" s="808" t="s">
        <v>1763</v>
      </c>
      <c r="C1291" s="927"/>
      <c r="D1291" s="927">
        <f>'[15]Input Sheet'!Q851</f>
        <v>0</v>
      </c>
      <c r="E1291" s="927">
        <f>'[15]Input Sheet'!R851</f>
        <v>0</v>
      </c>
      <c r="F1291" s="911">
        <v>0</v>
      </c>
      <c r="G1291" s="836">
        <v>2.9200976999999999</v>
      </c>
      <c r="H1291" s="243"/>
      <c r="I1291" s="243"/>
      <c r="J1291" s="243"/>
      <c r="K1291" s="243"/>
      <c r="L1291" s="243"/>
      <c r="M1291" s="243"/>
    </row>
    <row r="1292" spans="1:13" x14ac:dyDescent="0.2">
      <c r="A1292" s="835">
        <v>53306</v>
      </c>
      <c r="B1292" s="808" t="s">
        <v>1764</v>
      </c>
      <c r="C1292" s="927"/>
      <c r="D1292" s="927">
        <f>'[15]Input Sheet'!Q852</f>
        <v>0</v>
      </c>
      <c r="E1292" s="927">
        <f>'[15]Input Sheet'!R852</f>
        <v>0</v>
      </c>
      <c r="F1292" s="911">
        <v>0</v>
      </c>
      <c r="G1292" s="836">
        <v>0.58555029999999997</v>
      </c>
      <c r="H1292" s="243"/>
      <c r="I1292" s="243"/>
      <c r="J1292" s="243"/>
      <c r="K1292" s="243"/>
      <c r="L1292" s="243"/>
      <c r="M1292" s="243"/>
    </row>
    <row r="1293" spans="1:13" x14ac:dyDescent="0.2">
      <c r="A1293" s="835">
        <v>53307</v>
      </c>
      <c r="B1293" s="808" t="s">
        <v>1765</v>
      </c>
      <c r="C1293" s="927"/>
      <c r="D1293" s="927">
        <f>'[15]Input Sheet'!Q853</f>
        <v>0</v>
      </c>
      <c r="E1293" s="927">
        <f>'[15]Input Sheet'!R853</f>
        <v>0</v>
      </c>
      <c r="F1293" s="911">
        <v>0</v>
      </c>
      <c r="G1293" s="836">
        <v>1.9949718999999999</v>
      </c>
      <c r="H1293" s="243"/>
      <c r="I1293" s="243"/>
      <c r="J1293" s="243"/>
      <c r="K1293" s="243"/>
      <c r="L1293" s="243"/>
      <c r="M1293" s="243"/>
    </row>
    <row r="1294" spans="1:13" x14ac:dyDescent="0.2">
      <c r="A1294" s="835">
        <v>53308</v>
      </c>
      <c r="B1294" s="808" t="s">
        <v>1766</v>
      </c>
      <c r="C1294" s="927"/>
      <c r="D1294" s="927">
        <f>'[15]Input Sheet'!Q854</f>
        <v>0</v>
      </c>
      <c r="E1294" s="927">
        <f>'[15]Input Sheet'!R854</f>
        <v>0</v>
      </c>
      <c r="F1294" s="911">
        <v>0</v>
      </c>
      <c r="G1294" s="836">
        <v>0</v>
      </c>
      <c r="H1294" s="243"/>
      <c r="I1294" s="243"/>
      <c r="J1294" s="243"/>
      <c r="K1294" s="243"/>
      <c r="L1294" s="243"/>
      <c r="M1294" s="243"/>
    </row>
    <row r="1295" spans="1:13" x14ac:dyDescent="0.2">
      <c r="A1295" s="835">
        <v>53309</v>
      </c>
      <c r="B1295" s="808" t="s">
        <v>1767</v>
      </c>
      <c r="C1295" s="927"/>
      <c r="D1295" s="927">
        <f>'[15]Input Sheet'!Q855</f>
        <v>0</v>
      </c>
      <c r="E1295" s="927">
        <f>'[15]Input Sheet'!R855</f>
        <v>0</v>
      </c>
      <c r="F1295" s="911">
        <v>0</v>
      </c>
      <c r="G1295" s="836">
        <v>1.5995225</v>
      </c>
      <c r="H1295" s="243"/>
      <c r="I1295" s="243"/>
      <c r="J1295" s="243"/>
      <c r="K1295" s="243"/>
      <c r="L1295" s="243"/>
      <c r="M1295" s="243"/>
    </row>
    <row r="1296" spans="1:13" x14ac:dyDescent="0.2">
      <c r="A1296" s="835">
        <v>53310</v>
      </c>
      <c r="B1296" s="808" t="s">
        <v>1768</v>
      </c>
      <c r="C1296" s="927"/>
      <c r="D1296" s="927">
        <f>'[15]Input Sheet'!Q856</f>
        <v>0</v>
      </c>
      <c r="E1296" s="927">
        <f>'[15]Input Sheet'!R856</f>
        <v>0</v>
      </c>
      <c r="F1296" s="911">
        <v>0</v>
      </c>
      <c r="G1296" s="836">
        <v>0</v>
      </c>
      <c r="H1296" s="243"/>
      <c r="I1296" s="243"/>
      <c r="J1296" s="243"/>
      <c r="K1296" s="243"/>
      <c r="L1296" s="243"/>
      <c r="M1296" s="243"/>
    </row>
    <row r="1297" spans="1:13" x14ac:dyDescent="0.2">
      <c r="A1297" s="835">
        <v>53311</v>
      </c>
      <c r="B1297" s="808" t="s">
        <v>1769</v>
      </c>
      <c r="C1297" s="927"/>
      <c r="D1297" s="927">
        <f>'[15]Input Sheet'!Q857</f>
        <v>0</v>
      </c>
      <c r="E1297" s="927">
        <f>'[15]Input Sheet'!R857</f>
        <v>0</v>
      </c>
      <c r="F1297" s="911">
        <v>0</v>
      </c>
      <c r="G1297" s="836">
        <v>0</v>
      </c>
      <c r="H1297" s="243"/>
      <c r="I1297" s="243"/>
      <c r="J1297" s="243"/>
      <c r="K1297" s="243"/>
      <c r="L1297" s="243"/>
      <c r="M1297" s="243"/>
    </row>
    <row r="1298" spans="1:13" x14ac:dyDescent="0.2">
      <c r="A1298" s="835">
        <v>53312</v>
      </c>
      <c r="B1298" s="808" t="s">
        <v>1770</v>
      </c>
      <c r="C1298" s="927"/>
      <c r="D1298" s="927">
        <f>'[15]Input Sheet'!Q858</f>
        <v>0</v>
      </c>
      <c r="E1298" s="927">
        <f>'[15]Input Sheet'!R858</f>
        <v>0</v>
      </c>
      <c r="F1298" s="911">
        <v>0</v>
      </c>
      <c r="G1298" s="836">
        <v>0.24952750000000001</v>
      </c>
      <c r="H1298" s="243"/>
      <c r="I1298" s="243"/>
      <c r="J1298" s="243"/>
      <c r="K1298" s="243"/>
      <c r="L1298" s="243"/>
      <c r="M1298" s="243"/>
    </row>
    <row r="1299" spans="1:13" x14ac:dyDescent="0.2">
      <c r="A1299" s="835">
        <v>53313</v>
      </c>
      <c r="B1299" s="808" t="s">
        <v>1771</v>
      </c>
      <c r="C1299" s="927"/>
      <c r="D1299" s="927">
        <f>'[15]Input Sheet'!Q859</f>
        <v>0</v>
      </c>
      <c r="E1299" s="927">
        <f>'[15]Input Sheet'!R859</f>
        <v>518.9473686</v>
      </c>
      <c r="F1299" s="911">
        <v>0</v>
      </c>
      <c r="G1299" s="836">
        <v>733.68421020000005</v>
      </c>
      <c r="H1299" s="243"/>
      <c r="I1299" s="243"/>
      <c r="J1299" s="243"/>
      <c r="K1299" s="243"/>
      <c r="L1299" s="243"/>
      <c r="M1299" s="243"/>
    </row>
    <row r="1300" spans="1:13" x14ac:dyDescent="0.2">
      <c r="A1300" s="835">
        <v>53314</v>
      </c>
      <c r="B1300" s="808" t="s">
        <v>1772</v>
      </c>
      <c r="C1300" s="927"/>
      <c r="D1300" s="927">
        <f>'[15]Input Sheet'!Q860</f>
        <v>0</v>
      </c>
      <c r="E1300" s="927">
        <f>'[15]Input Sheet'!R860</f>
        <v>75.732340600000001</v>
      </c>
      <c r="F1300" s="911">
        <v>0</v>
      </c>
      <c r="G1300" s="836">
        <v>88.903182000000001</v>
      </c>
      <c r="H1300" s="243"/>
      <c r="I1300" s="243"/>
      <c r="J1300" s="243"/>
      <c r="K1300" s="243"/>
      <c r="L1300" s="243"/>
      <c r="M1300" s="243"/>
    </row>
    <row r="1301" spans="1:13" x14ac:dyDescent="0.2">
      <c r="A1301" s="835">
        <v>53315</v>
      </c>
      <c r="B1301" s="808" t="s">
        <v>1773</v>
      </c>
      <c r="C1301" s="927"/>
      <c r="D1301" s="927">
        <f>'[15]Input Sheet'!Q861</f>
        <v>0</v>
      </c>
      <c r="E1301" s="927">
        <f>'[15]Input Sheet'!R861</f>
        <v>9.7758293999999992</v>
      </c>
      <c r="F1301" s="911">
        <v>0</v>
      </c>
      <c r="G1301" s="836">
        <v>10.5699144</v>
      </c>
      <c r="H1301" s="243"/>
      <c r="I1301" s="243"/>
      <c r="J1301" s="243"/>
      <c r="K1301" s="243"/>
      <c r="L1301" s="243"/>
      <c r="M1301" s="243"/>
    </row>
    <row r="1302" spans="1:13" x14ac:dyDescent="0.2">
      <c r="A1302" s="835">
        <v>53316</v>
      </c>
      <c r="B1302" s="808" t="s">
        <v>1774</v>
      </c>
      <c r="C1302" s="927"/>
      <c r="D1302" s="927">
        <f>'[15]Input Sheet'!Q862</f>
        <v>0</v>
      </c>
      <c r="E1302" s="927">
        <f>'[15]Input Sheet'!R862</f>
        <v>11.407545499999999</v>
      </c>
      <c r="F1302" s="911">
        <v>0</v>
      </c>
      <c r="G1302" s="836">
        <v>12.928551499999999</v>
      </c>
      <c r="H1302" s="243"/>
      <c r="I1302" s="243"/>
      <c r="J1302" s="243"/>
      <c r="K1302" s="243"/>
      <c r="L1302" s="243"/>
      <c r="M1302" s="243"/>
    </row>
    <row r="1303" spans="1:13" x14ac:dyDescent="0.2">
      <c r="A1303" s="835">
        <v>53317</v>
      </c>
      <c r="B1303" s="808" t="s">
        <v>1775</v>
      </c>
      <c r="C1303" s="927"/>
      <c r="D1303" s="927">
        <f>'[15]Input Sheet'!Q863</f>
        <v>0</v>
      </c>
      <c r="E1303" s="927">
        <f>'[15]Input Sheet'!R863</f>
        <v>6.6921265999999999</v>
      </c>
      <c r="F1303" s="911">
        <v>0</v>
      </c>
      <c r="G1303" s="836">
        <v>7.8559745999999997</v>
      </c>
      <c r="H1303" s="243"/>
      <c r="I1303" s="243"/>
      <c r="J1303" s="243"/>
      <c r="K1303" s="243"/>
      <c r="L1303" s="243"/>
      <c r="M1303" s="243"/>
    </row>
    <row r="1304" spans="1:13" x14ac:dyDescent="0.2">
      <c r="A1304" s="835">
        <v>53318</v>
      </c>
      <c r="B1304" s="808" t="s">
        <v>1776</v>
      </c>
      <c r="C1304" s="927"/>
      <c r="D1304" s="927">
        <f>'[15]Input Sheet'!Q864</f>
        <v>0</v>
      </c>
      <c r="E1304" s="927">
        <f>'[15]Input Sheet'!R864</f>
        <v>6.9048667000000004</v>
      </c>
      <c r="F1304" s="911">
        <v>0</v>
      </c>
      <c r="G1304" s="836">
        <v>7.9278098999999997</v>
      </c>
      <c r="H1304" s="243"/>
      <c r="I1304" s="243"/>
      <c r="J1304" s="243"/>
      <c r="K1304" s="243"/>
      <c r="L1304" s="243"/>
      <c r="M1304" s="243"/>
    </row>
    <row r="1305" spans="1:13" x14ac:dyDescent="0.2">
      <c r="A1305" s="835">
        <v>53319</v>
      </c>
      <c r="B1305" s="808" t="s">
        <v>1777</v>
      </c>
      <c r="C1305" s="927"/>
      <c r="D1305" s="927">
        <f>'[15]Input Sheet'!Q865</f>
        <v>0</v>
      </c>
      <c r="E1305" s="927">
        <f>'[15]Input Sheet'!R865</f>
        <v>0</v>
      </c>
      <c r="F1305" s="911">
        <v>0</v>
      </c>
      <c r="G1305" s="836">
        <v>0</v>
      </c>
      <c r="H1305" s="243"/>
      <c r="I1305" s="243"/>
      <c r="J1305" s="243"/>
      <c r="K1305" s="243"/>
      <c r="L1305" s="243"/>
      <c r="M1305" s="243"/>
    </row>
    <row r="1306" spans="1:13" x14ac:dyDescent="0.2">
      <c r="A1306" s="835">
        <v>53320</v>
      </c>
      <c r="B1306" s="808" t="s">
        <v>1778</v>
      </c>
      <c r="C1306" s="927"/>
      <c r="D1306" s="927">
        <f>'[15]Input Sheet'!Q866</f>
        <v>0</v>
      </c>
      <c r="E1306" s="927">
        <f>'[15]Input Sheet'!R866</f>
        <v>6.9585178000000001</v>
      </c>
      <c r="F1306" s="911">
        <v>0</v>
      </c>
      <c r="G1306" s="836">
        <v>8.1686949999999996</v>
      </c>
      <c r="H1306" s="243"/>
      <c r="I1306" s="243"/>
      <c r="J1306" s="243"/>
      <c r="K1306" s="243"/>
      <c r="L1306" s="243"/>
      <c r="M1306" s="243"/>
    </row>
    <row r="1307" spans="1:13" x14ac:dyDescent="0.2">
      <c r="A1307" s="835">
        <v>53321</v>
      </c>
      <c r="B1307" s="808" t="s">
        <v>1779</v>
      </c>
      <c r="C1307" s="927"/>
      <c r="D1307" s="927">
        <f>'[15]Input Sheet'!Q867</f>
        <v>0</v>
      </c>
      <c r="E1307" s="927">
        <f>'[15]Input Sheet'!R867</f>
        <v>7.4098066999999999</v>
      </c>
      <c r="F1307" s="911">
        <v>0</v>
      </c>
      <c r="G1307" s="836">
        <v>8.6447746999999993</v>
      </c>
      <c r="H1307" s="243"/>
      <c r="I1307" s="243"/>
      <c r="J1307" s="243"/>
      <c r="K1307" s="243"/>
      <c r="L1307" s="243"/>
      <c r="M1307" s="243"/>
    </row>
    <row r="1308" spans="1:13" x14ac:dyDescent="0.2">
      <c r="A1308" s="835">
        <v>53322</v>
      </c>
      <c r="B1308" s="808" t="s">
        <v>1780</v>
      </c>
      <c r="C1308" s="927"/>
      <c r="D1308" s="927">
        <f>'[15]Input Sheet'!Q868</f>
        <v>0</v>
      </c>
      <c r="E1308" s="927">
        <f>'[15]Input Sheet'!R868</f>
        <v>22.9069626</v>
      </c>
      <c r="F1308" s="911">
        <v>0</v>
      </c>
      <c r="G1308" s="836">
        <v>26.7247898</v>
      </c>
      <c r="H1308" s="243"/>
      <c r="I1308" s="243"/>
      <c r="J1308" s="243"/>
      <c r="K1308" s="243"/>
      <c r="L1308" s="243"/>
      <c r="M1308" s="243"/>
    </row>
    <row r="1309" spans="1:13" x14ac:dyDescent="0.2">
      <c r="A1309" s="835">
        <v>53323</v>
      </c>
      <c r="B1309" s="808" t="s">
        <v>1781</v>
      </c>
      <c r="C1309" s="927"/>
      <c r="D1309" s="927">
        <f>'[15]Input Sheet'!Q869</f>
        <v>0</v>
      </c>
      <c r="E1309" s="927">
        <f>'[15]Input Sheet'!R869</f>
        <v>5.9203757000000001</v>
      </c>
      <c r="F1309" s="911">
        <v>0</v>
      </c>
      <c r="G1309" s="836">
        <v>6.9500061000000004</v>
      </c>
      <c r="H1309" s="243"/>
      <c r="I1309" s="243"/>
      <c r="J1309" s="243"/>
      <c r="K1309" s="243"/>
      <c r="L1309" s="243"/>
      <c r="M1309" s="243"/>
    </row>
    <row r="1310" spans="1:13" x14ac:dyDescent="0.2">
      <c r="A1310" s="835">
        <v>53324</v>
      </c>
      <c r="B1310" s="808" t="s">
        <v>1782</v>
      </c>
      <c r="C1310" s="927"/>
      <c r="D1310" s="927">
        <f>'[15]Input Sheet'!Q870</f>
        <v>0</v>
      </c>
      <c r="E1310" s="927">
        <f>'[15]Input Sheet'!R870</f>
        <v>8.5747157999999999</v>
      </c>
      <c r="F1310" s="911">
        <v>0</v>
      </c>
      <c r="G1310" s="836">
        <v>10.065970999999999</v>
      </c>
      <c r="H1310" s="243"/>
      <c r="I1310" s="243"/>
      <c r="J1310" s="243"/>
      <c r="K1310" s="243"/>
      <c r="L1310" s="243"/>
      <c r="M1310" s="243"/>
    </row>
    <row r="1311" spans="1:13" x14ac:dyDescent="0.2">
      <c r="A1311" s="835">
        <v>53325</v>
      </c>
      <c r="B1311" s="808" t="s">
        <v>1783</v>
      </c>
      <c r="C1311" s="927"/>
      <c r="D1311" s="927">
        <f>'[15]Input Sheet'!Q871</f>
        <v>0</v>
      </c>
      <c r="E1311" s="927">
        <f>'[15]Input Sheet'!R871</f>
        <v>8.5249830000000006</v>
      </c>
      <c r="F1311" s="911">
        <v>0</v>
      </c>
      <c r="G1311" s="836">
        <v>8.5249830000000006</v>
      </c>
      <c r="H1311" s="243"/>
      <c r="I1311" s="243"/>
      <c r="J1311" s="243"/>
      <c r="K1311" s="243"/>
      <c r="L1311" s="243"/>
      <c r="M1311" s="243"/>
    </row>
    <row r="1312" spans="1:13" x14ac:dyDescent="0.2">
      <c r="A1312" s="835">
        <v>53326</v>
      </c>
      <c r="B1312" s="808" t="s">
        <v>1784</v>
      </c>
      <c r="C1312" s="927"/>
      <c r="D1312" s="927">
        <f>'[15]Input Sheet'!Q872</f>
        <v>0</v>
      </c>
      <c r="E1312" s="927">
        <f>'[15]Input Sheet'!R872</f>
        <v>10.569375000000001</v>
      </c>
      <c r="F1312" s="911">
        <v>0</v>
      </c>
      <c r="G1312" s="836">
        <v>12.260475</v>
      </c>
      <c r="H1312" s="243"/>
      <c r="I1312" s="243"/>
      <c r="J1312" s="243"/>
      <c r="K1312" s="243"/>
      <c r="L1312" s="243"/>
      <c r="M1312" s="243"/>
    </row>
    <row r="1313" spans="1:13" x14ac:dyDescent="0.2">
      <c r="A1313" s="835">
        <v>53327</v>
      </c>
      <c r="B1313" s="808" t="s">
        <v>1785</v>
      </c>
      <c r="C1313" s="927"/>
      <c r="D1313" s="927">
        <f>'[15]Input Sheet'!Q873</f>
        <v>0</v>
      </c>
      <c r="E1313" s="927">
        <f>'[15]Input Sheet'!R873</f>
        <v>11.216977099999999</v>
      </c>
      <c r="F1313" s="911">
        <v>0</v>
      </c>
      <c r="G1313" s="836">
        <v>13.0864735</v>
      </c>
      <c r="H1313" s="243"/>
      <c r="I1313" s="243"/>
      <c r="J1313" s="243"/>
      <c r="K1313" s="243"/>
      <c r="L1313" s="243"/>
      <c r="M1313" s="243"/>
    </row>
    <row r="1314" spans="1:13" x14ac:dyDescent="0.2">
      <c r="A1314" s="835">
        <v>53328</v>
      </c>
      <c r="B1314" s="808" t="s">
        <v>1786</v>
      </c>
      <c r="C1314" s="927"/>
      <c r="D1314" s="927">
        <f>'[15]Input Sheet'!Q874</f>
        <v>0</v>
      </c>
      <c r="E1314" s="927">
        <f>'[15]Input Sheet'!R874</f>
        <v>9.3786509000000002</v>
      </c>
      <c r="F1314" s="911">
        <v>0</v>
      </c>
      <c r="G1314" s="836">
        <v>10.7680805</v>
      </c>
      <c r="H1314" s="243"/>
      <c r="I1314" s="243"/>
      <c r="J1314" s="243"/>
      <c r="K1314" s="243"/>
      <c r="L1314" s="243"/>
      <c r="M1314" s="243"/>
    </row>
    <row r="1315" spans="1:13" x14ac:dyDescent="0.2">
      <c r="A1315" s="835">
        <v>53329</v>
      </c>
      <c r="B1315" s="808" t="s">
        <v>1787</v>
      </c>
      <c r="C1315" s="927"/>
      <c r="D1315" s="927">
        <f>'[15]Input Sheet'!Q875</f>
        <v>0</v>
      </c>
      <c r="E1315" s="927">
        <f>'[15]Input Sheet'!R875</f>
        <v>8.4183070000000004</v>
      </c>
      <c r="F1315" s="911">
        <v>0</v>
      </c>
      <c r="G1315" s="836">
        <v>9.8213582000000006</v>
      </c>
      <c r="H1315" s="243"/>
      <c r="I1315" s="243"/>
      <c r="J1315" s="243"/>
      <c r="K1315" s="243"/>
      <c r="L1315" s="243"/>
      <c r="M1315" s="243"/>
    </row>
    <row r="1316" spans="1:13" x14ac:dyDescent="0.2">
      <c r="A1316" s="835">
        <v>53330</v>
      </c>
      <c r="B1316" s="808" t="s">
        <v>1788</v>
      </c>
      <c r="C1316" s="927"/>
      <c r="D1316" s="927">
        <f>'[15]Input Sheet'!Q876</f>
        <v>0</v>
      </c>
      <c r="E1316" s="927">
        <f>'[15]Input Sheet'!R876</f>
        <v>19.602240399999999</v>
      </c>
      <c r="F1316" s="911">
        <v>0</v>
      </c>
      <c r="G1316" s="836">
        <v>23.166284000000001</v>
      </c>
      <c r="H1316" s="243"/>
      <c r="I1316" s="243"/>
      <c r="J1316" s="243"/>
      <c r="K1316" s="243"/>
      <c r="L1316" s="243"/>
      <c r="M1316" s="243"/>
    </row>
    <row r="1317" spans="1:13" x14ac:dyDescent="0.2">
      <c r="A1317" s="835">
        <v>53331</v>
      </c>
      <c r="B1317" s="808" t="s">
        <v>1789</v>
      </c>
      <c r="C1317" s="927"/>
      <c r="D1317" s="927">
        <f>'[15]Input Sheet'!Q877</f>
        <v>0</v>
      </c>
      <c r="E1317" s="927">
        <f>'[15]Input Sheet'!R877</f>
        <v>2.9195060000000002</v>
      </c>
      <c r="F1317" s="911">
        <v>0</v>
      </c>
      <c r="G1317" s="836">
        <v>3.4272459999999998</v>
      </c>
      <c r="H1317" s="243"/>
      <c r="I1317" s="243"/>
      <c r="J1317" s="243"/>
      <c r="K1317" s="243"/>
      <c r="L1317" s="243"/>
      <c r="M1317" s="243"/>
    </row>
    <row r="1318" spans="1:13" x14ac:dyDescent="0.2">
      <c r="A1318" s="835">
        <v>53332</v>
      </c>
      <c r="B1318" s="808" t="s">
        <v>1790</v>
      </c>
      <c r="C1318" s="927"/>
      <c r="D1318" s="927">
        <f>'[15]Input Sheet'!Q878</f>
        <v>0</v>
      </c>
      <c r="E1318" s="927">
        <f>'[15]Input Sheet'!R878</f>
        <v>32.5846193</v>
      </c>
      <c r="F1318" s="911">
        <v>0</v>
      </c>
      <c r="G1318" s="836">
        <v>38.509095299999998</v>
      </c>
      <c r="H1318" s="243"/>
      <c r="I1318" s="243"/>
      <c r="J1318" s="243"/>
      <c r="K1318" s="243"/>
      <c r="L1318" s="243"/>
      <c r="M1318" s="243"/>
    </row>
    <row r="1319" spans="1:13" x14ac:dyDescent="0.2">
      <c r="A1319" s="835">
        <v>53333</v>
      </c>
      <c r="B1319" s="808" t="s">
        <v>1791</v>
      </c>
      <c r="C1319" s="927"/>
      <c r="D1319" s="927">
        <f>'[15]Input Sheet'!Q879</f>
        <v>0</v>
      </c>
      <c r="E1319" s="927">
        <f>'[15]Input Sheet'!R879</f>
        <v>2.4792399999999999E-2</v>
      </c>
      <c r="F1319" s="911">
        <v>0</v>
      </c>
      <c r="G1319" s="836">
        <v>2.8924399999999999E-2</v>
      </c>
      <c r="H1319" s="243"/>
      <c r="I1319" s="243"/>
      <c r="J1319" s="243"/>
      <c r="K1319" s="243"/>
      <c r="L1319" s="243"/>
      <c r="M1319" s="243"/>
    </row>
    <row r="1320" spans="1:13" x14ac:dyDescent="0.2">
      <c r="A1320" s="835">
        <v>53334</v>
      </c>
      <c r="B1320" s="808" t="s">
        <v>1792</v>
      </c>
      <c r="C1320" s="927"/>
      <c r="D1320" s="927">
        <f>'[15]Input Sheet'!Q880</f>
        <v>0</v>
      </c>
      <c r="E1320" s="927">
        <f>'[15]Input Sheet'!R880</f>
        <v>12.4984953</v>
      </c>
      <c r="F1320" s="911">
        <v>0</v>
      </c>
      <c r="G1320" s="836">
        <v>14.421340900000001</v>
      </c>
      <c r="H1320" s="243"/>
      <c r="I1320" s="243"/>
      <c r="J1320" s="243"/>
      <c r="K1320" s="243"/>
      <c r="L1320" s="243"/>
      <c r="M1320" s="243"/>
    </row>
    <row r="1321" spans="1:13" x14ac:dyDescent="0.2">
      <c r="A1321" s="835">
        <v>53335</v>
      </c>
      <c r="B1321" s="808" t="s">
        <v>1793</v>
      </c>
      <c r="C1321" s="927"/>
      <c r="D1321" s="927">
        <f>'[15]Input Sheet'!Q881</f>
        <v>0</v>
      </c>
      <c r="E1321" s="927">
        <f>'[15]Input Sheet'!R881</f>
        <v>27.9445041</v>
      </c>
      <c r="F1321" s="911">
        <v>0</v>
      </c>
      <c r="G1321" s="836">
        <v>33.025323299999997</v>
      </c>
      <c r="H1321" s="243"/>
      <c r="I1321" s="243"/>
      <c r="J1321" s="243"/>
      <c r="K1321" s="243"/>
      <c r="L1321" s="243"/>
      <c r="M1321" s="243"/>
    </row>
    <row r="1322" spans="1:13" x14ac:dyDescent="0.2">
      <c r="A1322" s="835">
        <v>53336</v>
      </c>
      <c r="B1322" s="808" t="s">
        <v>1794</v>
      </c>
      <c r="C1322" s="927"/>
      <c r="D1322" s="927">
        <f>'[15]Input Sheet'!Q882</f>
        <v>0</v>
      </c>
      <c r="E1322" s="927">
        <f>'[15]Input Sheet'!R882</f>
        <v>5.8080921999999999</v>
      </c>
      <c r="F1322" s="911">
        <v>0</v>
      </c>
      <c r="G1322" s="836">
        <v>6.7761078000000001</v>
      </c>
      <c r="H1322" s="243"/>
      <c r="I1322" s="243"/>
      <c r="J1322" s="243"/>
      <c r="K1322" s="243"/>
      <c r="L1322" s="243"/>
      <c r="M1322" s="243"/>
    </row>
    <row r="1323" spans="1:13" x14ac:dyDescent="0.2">
      <c r="A1323" s="835">
        <v>53337</v>
      </c>
      <c r="B1323" s="808" t="s">
        <v>1795</v>
      </c>
      <c r="C1323" s="927"/>
      <c r="D1323" s="927">
        <f>'[15]Input Sheet'!Q883</f>
        <v>0</v>
      </c>
      <c r="E1323" s="927">
        <f>'[15]Input Sheet'!R883</f>
        <v>6.8357929000000004</v>
      </c>
      <c r="F1323" s="911">
        <v>0</v>
      </c>
      <c r="G1323" s="836">
        <v>7.9750917000000001</v>
      </c>
      <c r="H1323" s="243"/>
      <c r="I1323" s="243"/>
      <c r="J1323" s="243"/>
      <c r="K1323" s="243"/>
      <c r="L1323" s="243"/>
      <c r="M1323" s="243"/>
    </row>
    <row r="1324" spans="1:13" x14ac:dyDescent="0.2">
      <c r="A1324" s="835">
        <v>53338</v>
      </c>
      <c r="B1324" s="808" t="s">
        <v>1796</v>
      </c>
      <c r="C1324" s="927"/>
      <c r="D1324" s="927">
        <f>'[15]Input Sheet'!Q884</f>
        <v>0</v>
      </c>
      <c r="E1324" s="927">
        <f>'[15]Input Sheet'!R884</f>
        <v>7.1117455999999999</v>
      </c>
      <c r="F1324" s="911">
        <v>0</v>
      </c>
      <c r="G1324" s="836">
        <v>8.4047900000000002</v>
      </c>
      <c r="H1324" s="243"/>
      <c r="I1324" s="243"/>
      <c r="J1324" s="243"/>
      <c r="K1324" s="243"/>
      <c r="L1324" s="243"/>
      <c r="M1324" s="243"/>
    </row>
    <row r="1325" spans="1:13" x14ac:dyDescent="0.2">
      <c r="A1325" s="835">
        <v>53339</v>
      </c>
      <c r="B1325" s="808" t="s">
        <v>1797</v>
      </c>
      <c r="C1325" s="927"/>
      <c r="D1325" s="927">
        <f>'[15]Input Sheet'!Q885</f>
        <v>0</v>
      </c>
      <c r="E1325" s="927">
        <f>'[15]Input Sheet'!R885</f>
        <v>8.6474250000000001</v>
      </c>
      <c r="F1325" s="911">
        <v>0</v>
      </c>
      <c r="G1325" s="836">
        <v>10.151325</v>
      </c>
      <c r="H1325" s="243"/>
      <c r="I1325" s="243"/>
      <c r="J1325" s="243"/>
      <c r="K1325" s="243"/>
      <c r="L1325" s="243"/>
      <c r="M1325" s="243"/>
    </row>
    <row r="1326" spans="1:13" x14ac:dyDescent="0.2">
      <c r="A1326" s="835">
        <v>53340</v>
      </c>
      <c r="B1326" s="808" t="s">
        <v>1798</v>
      </c>
      <c r="C1326" s="927"/>
      <c r="D1326" s="927">
        <f>'[15]Input Sheet'!Q886</f>
        <v>0</v>
      </c>
      <c r="E1326" s="927">
        <f>'[15]Input Sheet'!R886</f>
        <v>0</v>
      </c>
      <c r="F1326" s="911">
        <v>0</v>
      </c>
      <c r="G1326" s="836">
        <v>0</v>
      </c>
      <c r="H1326" s="243"/>
      <c r="I1326" s="243"/>
      <c r="J1326" s="243"/>
      <c r="K1326" s="243"/>
      <c r="L1326" s="243"/>
      <c r="M1326" s="243"/>
    </row>
    <row r="1327" spans="1:13" x14ac:dyDescent="0.2">
      <c r="A1327" s="835">
        <v>53341</v>
      </c>
      <c r="B1327" s="808" t="s">
        <v>1799</v>
      </c>
      <c r="C1327" s="927"/>
      <c r="D1327" s="927">
        <f>'[15]Input Sheet'!Q887</f>
        <v>0</v>
      </c>
      <c r="E1327" s="927">
        <f>'[15]Input Sheet'!R887</f>
        <v>6.2153613999999999</v>
      </c>
      <c r="F1327" s="911">
        <v>0</v>
      </c>
      <c r="G1327" s="836">
        <v>7.2962942000000002</v>
      </c>
      <c r="H1327" s="243"/>
      <c r="I1327" s="243"/>
      <c r="J1327" s="243"/>
      <c r="K1327" s="243"/>
      <c r="L1327" s="243"/>
      <c r="M1327" s="243"/>
    </row>
    <row r="1328" spans="1:13" x14ac:dyDescent="0.2">
      <c r="A1328" s="835">
        <v>53342</v>
      </c>
      <c r="B1328" s="808" t="s">
        <v>1800</v>
      </c>
      <c r="C1328" s="927"/>
      <c r="D1328" s="927">
        <f>'[15]Input Sheet'!Q888</f>
        <v>0</v>
      </c>
      <c r="E1328" s="927">
        <f>'[15]Input Sheet'!R888</f>
        <v>0</v>
      </c>
      <c r="F1328" s="911">
        <v>0</v>
      </c>
      <c r="G1328" s="836">
        <v>0</v>
      </c>
      <c r="H1328" s="243"/>
      <c r="I1328" s="243"/>
      <c r="J1328" s="243"/>
      <c r="K1328" s="243"/>
      <c r="L1328" s="243"/>
      <c r="M1328" s="243"/>
    </row>
    <row r="1329" spans="1:13" x14ac:dyDescent="0.2">
      <c r="A1329" s="835">
        <v>53343</v>
      </c>
      <c r="B1329" s="808" t="s">
        <v>1801</v>
      </c>
      <c r="C1329" s="927"/>
      <c r="D1329" s="927">
        <f>'[15]Input Sheet'!Q889</f>
        <v>0</v>
      </c>
      <c r="E1329" s="927">
        <f>'[15]Input Sheet'!R889</f>
        <v>7.8648420000000003</v>
      </c>
      <c r="F1329" s="911">
        <v>0</v>
      </c>
      <c r="G1329" s="836">
        <v>9.2326403999999993</v>
      </c>
      <c r="H1329" s="243"/>
      <c r="I1329" s="243"/>
      <c r="J1329" s="243"/>
      <c r="K1329" s="243"/>
      <c r="L1329" s="243"/>
      <c r="M1329" s="243"/>
    </row>
    <row r="1330" spans="1:13" x14ac:dyDescent="0.2">
      <c r="A1330" s="835">
        <v>53344</v>
      </c>
      <c r="B1330" s="808" t="s">
        <v>1802</v>
      </c>
      <c r="C1330" s="927"/>
      <c r="D1330" s="927">
        <f>'[15]Input Sheet'!Q890</f>
        <v>0</v>
      </c>
      <c r="E1330" s="927">
        <f>'[15]Input Sheet'!R890</f>
        <v>9.7693112000000006</v>
      </c>
      <c r="F1330" s="911">
        <v>0</v>
      </c>
      <c r="G1330" s="836">
        <v>11.468321599999999</v>
      </c>
      <c r="H1330" s="243"/>
      <c r="I1330" s="243"/>
      <c r="J1330" s="243"/>
      <c r="K1330" s="243"/>
      <c r="L1330" s="243"/>
      <c r="M1330" s="243"/>
    </row>
    <row r="1331" spans="1:13" x14ac:dyDescent="0.2">
      <c r="A1331" s="835">
        <v>53345</v>
      </c>
      <c r="B1331" s="808" t="s">
        <v>1803</v>
      </c>
      <c r="C1331" s="927"/>
      <c r="D1331" s="927">
        <f>'[15]Input Sheet'!Q891</f>
        <v>0</v>
      </c>
      <c r="E1331" s="927">
        <f>'[15]Input Sheet'!R891</f>
        <v>20.5739999</v>
      </c>
      <c r="F1331" s="911">
        <v>0</v>
      </c>
      <c r="G1331" s="836">
        <v>24.002999899999999</v>
      </c>
      <c r="H1331" s="243"/>
      <c r="I1331" s="243"/>
      <c r="J1331" s="243"/>
      <c r="K1331" s="243"/>
      <c r="L1331" s="243"/>
      <c r="M1331" s="243"/>
    </row>
    <row r="1332" spans="1:13" x14ac:dyDescent="0.2">
      <c r="A1332" s="835">
        <v>53346</v>
      </c>
      <c r="B1332" s="808" t="s">
        <v>1804</v>
      </c>
      <c r="C1332" s="927"/>
      <c r="D1332" s="927">
        <f>'[15]Input Sheet'!Q892</f>
        <v>0</v>
      </c>
      <c r="E1332" s="927">
        <f>'[15]Input Sheet'!R892</f>
        <v>6.5693298000000002</v>
      </c>
      <c r="F1332" s="911">
        <v>0</v>
      </c>
      <c r="G1332" s="836">
        <v>7.6642181999999996</v>
      </c>
      <c r="H1332" s="243"/>
      <c r="I1332" s="243"/>
      <c r="J1332" s="243"/>
      <c r="K1332" s="243"/>
      <c r="L1332" s="243"/>
      <c r="M1332" s="243"/>
    </row>
    <row r="1333" spans="1:13" x14ac:dyDescent="0.2">
      <c r="A1333" s="835">
        <v>53347</v>
      </c>
      <c r="B1333" s="808" t="s">
        <v>1805</v>
      </c>
      <c r="C1333" s="927"/>
      <c r="D1333" s="927">
        <f>'[15]Input Sheet'!Q893</f>
        <v>0</v>
      </c>
      <c r="E1333" s="927">
        <f>'[15]Input Sheet'!R893</f>
        <v>5.4232889999999996</v>
      </c>
      <c r="F1333" s="911">
        <v>0</v>
      </c>
      <c r="G1333" s="836">
        <v>6.3271705999999996</v>
      </c>
      <c r="H1333" s="243"/>
      <c r="I1333" s="243"/>
      <c r="J1333" s="243"/>
      <c r="K1333" s="243"/>
      <c r="L1333" s="243"/>
      <c r="M1333" s="243"/>
    </row>
    <row r="1334" spans="1:13" x14ac:dyDescent="0.2">
      <c r="A1334" s="835">
        <v>53348</v>
      </c>
      <c r="B1334" s="808" t="s">
        <v>1806</v>
      </c>
      <c r="C1334" s="927"/>
      <c r="D1334" s="927">
        <f>'[15]Input Sheet'!Q894</f>
        <v>0</v>
      </c>
      <c r="E1334" s="927">
        <f>'[15]Input Sheet'!R894</f>
        <v>11.301306200000001</v>
      </c>
      <c r="F1334" s="911">
        <v>0</v>
      </c>
      <c r="G1334" s="836">
        <v>13.266750999999999</v>
      </c>
      <c r="H1334" s="243"/>
      <c r="I1334" s="243"/>
      <c r="J1334" s="243"/>
      <c r="K1334" s="243"/>
      <c r="L1334" s="243"/>
      <c r="M1334" s="243"/>
    </row>
    <row r="1335" spans="1:13" x14ac:dyDescent="0.2">
      <c r="A1335" s="835">
        <v>53349</v>
      </c>
      <c r="B1335" s="808" t="s">
        <v>1807</v>
      </c>
      <c r="C1335" s="927"/>
      <c r="D1335" s="927">
        <f>'[15]Input Sheet'!Q895</f>
        <v>0</v>
      </c>
      <c r="E1335" s="927">
        <f>'[15]Input Sheet'!R895</f>
        <v>12.778424899999999</v>
      </c>
      <c r="F1335" s="911">
        <v>0</v>
      </c>
      <c r="G1335" s="836">
        <v>14.327324900000001</v>
      </c>
      <c r="H1335" s="243"/>
      <c r="I1335" s="243"/>
      <c r="J1335" s="243"/>
      <c r="K1335" s="243"/>
      <c r="L1335" s="243"/>
      <c r="M1335" s="243"/>
    </row>
    <row r="1336" spans="1:13" x14ac:dyDescent="0.2">
      <c r="A1336" s="835">
        <v>53350</v>
      </c>
      <c r="B1336" s="808" t="s">
        <v>1808</v>
      </c>
      <c r="C1336" s="927"/>
      <c r="D1336" s="927">
        <f>'[15]Input Sheet'!Q896</f>
        <v>0</v>
      </c>
      <c r="E1336" s="927">
        <f>'[15]Input Sheet'!R896</f>
        <v>1.7020432000000001</v>
      </c>
      <c r="F1336" s="911">
        <v>0</v>
      </c>
      <c r="G1336" s="836">
        <v>2.0115056</v>
      </c>
      <c r="H1336" s="243"/>
      <c r="I1336" s="243"/>
      <c r="J1336" s="243"/>
      <c r="K1336" s="243"/>
      <c r="L1336" s="243"/>
      <c r="M1336" s="243"/>
    </row>
    <row r="1337" spans="1:13" x14ac:dyDescent="0.2">
      <c r="A1337" s="1063">
        <v>53351</v>
      </c>
      <c r="B1337" s="1063" t="s">
        <v>1809</v>
      </c>
      <c r="C1337" s="1064"/>
      <c r="D1337" s="927">
        <f>'[15]Input Sheet'!Q897</f>
        <v>0</v>
      </c>
      <c r="E1337" s="927">
        <f>'[15]Input Sheet'!R897</f>
        <v>18.334464000000001</v>
      </c>
      <c r="F1337" s="911">
        <v>0</v>
      </c>
      <c r="G1337" s="836">
        <v>13.9640583</v>
      </c>
      <c r="H1337" s="243"/>
      <c r="I1337" s="243"/>
      <c r="J1337" s="243"/>
      <c r="K1337" s="243"/>
      <c r="L1337" s="243"/>
      <c r="M1337" s="243"/>
    </row>
    <row r="1338" spans="1:13" x14ac:dyDescent="0.2">
      <c r="A1338" s="1063">
        <v>53352</v>
      </c>
      <c r="B1338" s="1063" t="s">
        <v>1810</v>
      </c>
      <c r="C1338" s="1064"/>
      <c r="D1338" s="927">
        <f>'[15]Input Sheet'!Q898</f>
        <v>0</v>
      </c>
      <c r="E1338" s="927">
        <f>'[15]Input Sheet'!R898</f>
        <v>86.348382599999994</v>
      </c>
      <c r="F1338" s="911">
        <v>0</v>
      </c>
      <c r="G1338" s="836">
        <v>100.1641242</v>
      </c>
      <c r="H1338" s="243"/>
      <c r="I1338" s="243"/>
      <c r="J1338" s="243"/>
      <c r="K1338" s="243"/>
      <c r="L1338" s="243"/>
      <c r="M1338" s="243"/>
    </row>
    <row r="1339" spans="1:13" x14ac:dyDescent="0.2">
      <c r="A1339" s="1063">
        <v>53353</v>
      </c>
      <c r="B1339" s="1063" t="s">
        <v>1811</v>
      </c>
      <c r="C1339" s="1064"/>
      <c r="D1339" s="927">
        <f>'[15]Input Sheet'!Q899</f>
        <v>0</v>
      </c>
      <c r="E1339" s="927">
        <f>'[15]Input Sheet'!R899</f>
        <v>0</v>
      </c>
      <c r="F1339" s="911">
        <v>0</v>
      </c>
      <c r="G1339" s="836">
        <v>0</v>
      </c>
      <c r="H1339" s="243"/>
      <c r="I1339" s="243"/>
      <c r="J1339" s="243"/>
      <c r="K1339" s="243"/>
      <c r="L1339" s="243"/>
      <c r="M1339" s="243"/>
    </row>
    <row r="1340" spans="1:13" x14ac:dyDescent="0.2">
      <c r="A1340" s="1063">
        <v>53354</v>
      </c>
      <c r="B1340" s="1063" t="s">
        <v>1812</v>
      </c>
      <c r="C1340" s="1064"/>
      <c r="D1340" s="927">
        <f>'[15]Input Sheet'!Q900</f>
        <v>0</v>
      </c>
      <c r="E1340" s="927">
        <f>'[15]Input Sheet'!R900</f>
        <v>14.5321403</v>
      </c>
      <c r="F1340" s="911">
        <v>0</v>
      </c>
      <c r="G1340" s="836">
        <v>16.857282699999999</v>
      </c>
      <c r="H1340" s="243"/>
      <c r="I1340" s="243"/>
      <c r="J1340" s="243"/>
      <c r="K1340" s="243"/>
      <c r="L1340" s="243"/>
      <c r="M1340" s="243"/>
    </row>
    <row r="1341" spans="1:13" x14ac:dyDescent="0.2">
      <c r="A1341" s="1063">
        <v>53355</v>
      </c>
      <c r="B1341" s="1063" t="s">
        <v>1813</v>
      </c>
      <c r="C1341" s="1064"/>
      <c r="D1341" s="927">
        <f>'[15]Input Sheet'!Q901</f>
        <v>0</v>
      </c>
      <c r="E1341" s="927">
        <f>'[15]Input Sheet'!R901</f>
        <v>6.6707595</v>
      </c>
      <c r="F1341" s="911">
        <v>0</v>
      </c>
      <c r="G1341" s="836">
        <v>7.7380810999999996</v>
      </c>
      <c r="H1341" s="243"/>
      <c r="I1341" s="243"/>
      <c r="J1341" s="243"/>
      <c r="K1341" s="243"/>
      <c r="L1341" s="243"/>
      <c r="M1341" s="243"/>
    </row>
    <row r="1342" spans="1:13" x14ac:dyDescent="0.2">
      <c r="A1342" s="1063">
        <v>53356</v>
      </c>
      <c r="B1342" s="1063" t="s">
        <v>1814</v>
      </c>
      <c r="C1342" s="1064"/>
      <c r="D1342" s="927">
        <f>'[15]Input Sheet'!Q902</f>
        <v>0</v>
      </c>
      <c r="E1342" s="927">
        <f>'[15]Input Sheet'!R902</f>
        <v>8.0385167000000006</v>
      </c>
      <c r="F1342" s="911">
        <v>0</v>
      </c>
      <c r="G1342" s="836">
        <v>9.2294082999999993</v>
      </c>
      <c r="H1342" s="243"/>
      <c r="I1342" s="243"/>
      <c r="J1342" s="243"/>
      <c r="K1342" s="243"/>
      <c r="L1342" s="243"/>
      <c r="M1342" s="243"/>
    </row>
    <row r="1343" spans="1:13" x14ac:dyDescent="0.2">
      <c r="A1343" s="1063">
        <v>53357</v>
      </c>
      <c r="B1343" s="1063" t="s">
        <v>1815</v>
      </c>
      <c r="C1343" s="1064"/>
      <c r="D1343" s="927">
        <f>'[15]Input Sheet'!Q903</f>
        <v>0</v>
      </c>
      <c r="E1343" s="927">
        <f>'[15]Input Sheet'!R903</f>
        <v>7.5076672999999996</v>
      </c>
      <c r="F1343" s="911">
        <v>0</v>
      </c>
      <c r="G1343" s="836">
        <v>8.3996668999999997</v>
      </c>
      <c r="H1343" s="243"/>
      <c r="I1343" s="243"/>
      <c r="J1343" s="243"/>
      <c r="K1343" s="243"/>
      <c r="L1343" s="243"/>
      <c r="M1343" s="243"/>
    </row>
    <row r="1344" spans="1:13" x14ac:dyDescent="0.2">
      <c r="A1344" s="1063">
        <v>53358</v>
      </c>
      <c r="B1344" s="1063" t="s">
        <v>1816</v>
      </c>
      <c r="C1344" s="1064"/>
      <c r="D1344" s="927">
        <f>'[15]Input Sheet'!Q904</f>
        <v>0</v>
      </c>
      <c r="E1344" s="927">
        <f>'[15]Input Sheet'!R904</f>
        <v>5.8969554999999998</v>
      </c>
      <c r="F1344" s="911">
        <v>0</v>
      </c>
      <c r="G1344" s="836">
        <v>6.8404683000000004</v>
      </c>
      <c r="H1344" s="243"/>
      <c r="I1344" s="243"/>
      <c r="J1344" s="243"/>
      <c r="K1344" s="243"/>
      <c r="L1344" s="243"/>
      <c r="M1344" s="243"/>
    </row>
    <row r="1345" spans="1:13" x14ac:dyDescent="0.2">
      <c r="A1345" s="1063">
        <v>53359</v>
      </c>
      <c r="B1345" s="1063" t="s">
        <v>1817</v>
      </c>
      <c r="C1345" s="1064"/>
      <c r="D1345" s="927">
        <f>'[15]Input Sheet'!Q905</f>
        <v>0</v>
      </c>
      <c r="E1345" s="927">
        <f>'[15]Input Sheet'!R905</f>
        <v>7.7961102000000002</v>
      </c>
      <c r="F1345" s="911">
        <v>0</v>
      </c>
      <c r="G1345" s="836">
        <v>8.9098401999999997</v>
      </c>
      <c r="H1345" s="243"/>
      <c r="I1345" s="243"/>
      <c r="J1345" s="243"/>
      <c r="K1345" s="243"/>
      <c r="L1345" s="243"/>
      <c r="M1345" s="243"/>
    </row>
    <row r="1346" spans="1:13" x14ac:dyDescent="0.2">
      <c r="A1346" s="1063">
        <v>53360</v>
      </c>
      <c r="B1346" s="1063" t="s">
        <v>1818</v>
      </c>
      <c r="C1346" s="1064"/>
      <c r="D1346" s="927">
        <f>'[15]Input Sheet'!Q906</f>
        <v>0</v>
      </c>
      <c r="E1346" s="927">
        <f>'[15]Input Sheet'!R906</f>
        <v>8.6771002999999993</v>
      </c>
      <c r="F1346" s="911">
        <v>0</v>
      </c>
      <c r="G1346" s="836">
        <v>10.0654363</v>
      </c>
      <c r="H1346" s="243"/>
      <c r="I1346" s="243"/>
      <c r="J1346" s="243"/>
      <c r="K1346" s="243"/>
      <c r="L1346" s="243"/>
      <c r="M1346" s="243"/>
    </row>
    <row r="1347" spans="1:13" x14ac:dyDescent="0.2">
      <c r="A1347" s="1063">
        <v>53361</v>
      </c>
      <c r="B1347" s="1063" t="s">
        <v>1819</v>
      </c>
      <c r="C1347" s="1064"/>
      <c r="D1347" s="927">
        <f>'[15]Input Sheet'!Q907</f>
        <v>0</v>
      </c>
      <c r="E1347" s="927">
        <f>'[15]Input Sheet'!R907</f>
        <v>10.2142953</v>
      </c>
      <c r="F1347" s="911">
        <v>0</v>
      </c>
      <c r="G1347" s="836">
        <v>11.7275241</v>
      </c>
      <c r="H1347" s="243"/>
      <c r="I1347" s="243"/>
      <c r="J1347" s="243"/>
      <c r="K1347" s="243"/>
      <c r="L1347" s="243"/>
      <c r="M1347" s="243"/>
    </row>
    <row r="1348" spans="1:13" x14ac:dyDescent="0.2">
      <c r="A1348" s="1063">
        <v>53362</v>
      </c>
      <c r="B1348" s="1063" t="s">
        <v>1820</v>
      </c>
      <c r="C1348" s="1064"/>
      <c r="D1348" s="927">
        <f>'[15]Input Sheet'!Q908</f>
        <v>0</v>
      </c>
      <c r="E1348" s="927">
        <f>'[15]Input Sheet'!R908</f>
        <v>7.0548152999999996</v>
      </c>
      <c r="F1348" s="911">
        <v>0</v>
      </c>
      <c r="G1348" s="836">
        <v>8.1835857000000001</v>
      </c>
      <c r="H1348" s="243"/>
      <c r="I1348" s="243"/>
      <c r="J1348" s="243"/>
      <c r="K1348" s="243"/>
      <c r="L1348" s="243"/>
      <c r="M1348" s="243"/>
    </row>
    <row r="1349" spans="1:13" x14ac:dyDescent="0.2">
      <c r="A1349" s="1063">
        <v>53363</v>
      </c>
      <c r="B1349" s="1063" t="s">
        <v>1821</v>
      </c>
      <c r="C1349" s="1064"/>
      <c r="D1349" s="927">
        <f>'[15]Input Sheet'!Q909</f>
        <v>0</v>
      </c>
      <c r="E1349" s="927">
        <f>'[15]Input Sheet'!R909</f>
        <v>1.7778337</v>
      </c>
      <c r="F1349" s="911">
        <v>0</v>
      </c>
      <c r="G1349" s="836">
        <v>0</v>
      </c>
      <c r="H1349" s="243"/>
      <c r="I1349" s="243"/>
      <c r="J1349" s="243"/>
      <c r="K1349" s="243"/>
      <c r="L1349" s="243"/>
      <c r="M1349" s="243"/>
    </row>
    <row r="1350" spans="1:13" x14ac:dyDescent="0.2">
      <c r="A1350" s="1063">
        <v>53364</v>
      </c>
      <c r="B1350" s="1063" t="s">
        <v>1822</v>
      </c>
      <c r="C1350" s="1064"/>
      <c r="D1350" s="927">
        <f>'[15]Input Sheet'!Q910</f>
        <v>0</v>
      </c>
      <c r="E1350" s="927">
        <f>'[15]Input Sheet'!R910</f>
        <v>32.11</v>
      </c>
      <c r="F1350" s="911">
        <v>0</v>
      </c>
      <c r="G1350" s="836">
        <v>37.247599999999998</v>
      </c>
      <c r="H1350" s="243"/>
      <c r="I1350" s="243"/>
      <c r="J1350" s="243"/>
      <c r="K1350" s="243"/>
      <c r="L1350" s="243"/>
      <c r="M1350" s="243"/>
    </row>
    <row r="1351" spans="1:13" x14ac:dyDescent="0.2">
      <c r="A1351" s="1063">
        <v>53365</v>
      </c>
      <c r="B1351" s="1063" t="s">
        <v>1823</v>
      </c>
      <c r="C1351" s="1064"/>
      <c r="D1351" s="927">
        <f>'[15]Input Sheet'!Q911</f>
        <v>0</v>
      </c>
      <c r="E1351" s="927">
        <f>'[15]Input Sheet'!R911</f>
        <v>8.1508176999999993</v>
      </c>
      <c r="F1351" s="911">
        <v>0</v>
      </c>
      <c r="G1351" s="836">
        <v>9.3152205000000006</v>
      </c>
      <c r="H1351" s="243"/>
      <c r="I1351" s="243"/>
      <c r="J1351" s="243"/>
      <c r="K1351" s="243"/>
      <c r="L1351" s="243"/>
      <c r="M1351" s="243"/>
    </row>
    <row r="1352" spans="1:13" x14ac:dyDescent="0.2">
      <c r="A1352" s="1063">
        <v>53366</v>
      </c>
      <c r="B1352" s="1063" t="s">
        <v>1824</v>
      </c>
      <c r="C1352" s="1064"/>
      <c r="D1352" s="927">
        <f>'[15]Input Sheet'!Q912</f>
        <v>0</v>
      </c>
      <c r="E1352" s="927">
        <f>'[15]Input Sheet'!R912</f>
        <v>8.1414878999999996</v>
      </c>
      <c r="F1352" s="911">
        <v>0</v>
      </c>
      <c r="G1352" s="836">
        <v>9.3045579000000007</v>
      </c>
      <c r="H1352" s="243"/>
      <c r="I1352" s="243"/>
      <c r="J1352" s="243"/>
      <c r="K1352" s="243"/>
      <c r="L1352" s="243"/>
      <c r="M1352" s="243"/>
    </row>
    <row r="1353" spans="1:13" x14ac:dyDescent="0.2">
      <c r="A1353" s="1063">
        <v>53367</v>
      </c>
      <c r="B1353" s="1063" t="s">
        <v>1825</v>
      </c>
      <c r="C1353" s="1064"/>
      <c r="D1353" s="927">
        <f>'[15]Input Sheet'!Q913</f>
        <v>0</v>
      </c>
      <c r="E1353" s="927">
        <f>'[15]Input Sheet'!R913</f>
        <v>8.3141943999999999</v>
      </c>
      <c r="F1353" s="911">
        <v>0</v>
      </c>
      <c r="G1353" s="836">
        <v>6.2697906999999997</v>
      </c>
      <c r="H1353" s="243"/>
      <c r="I1353" s="243"/>
      <c r="J1353" s="243"/>
      <c r="K1353" s="243"/>
      <c r="L1353" s="243"/>
      <c r="M1353" s="243"/>
    </row>
    <row r="1354" spans="1:13" x14ac:dyDescent="0.2">
      <c r="A1354" s="1063">
        <v>53368</v>
      </c>
      <c r="B1354" s="1063" t="s">
        <v>1826</v>
      </c>
      <c r="C1354" s="1064"/>
      <c r="D1354" s="927">
        <f>'[15]Input Sheet'!Q914</f>
        <v>0</v>
      </c>
      <c r="E1354" s="927">
        <f>'[15]Input Sheet'!R914</f>
        <v>0</v>
      </c>
      <c r="F1354" s="911">
        <v>0</v>
      </c>
      <c r="G1354" s="836">
        <v>0</v>
      </c>
      <c r="H1354" s="243"/>
      <c r="I1354" s="243"/>
      <c r="J1354" s="243"/>
      <c r="K1354" s="243"/>
      <c r="L1354" s="243"/>
      <c r="M1354" s="243"/>
    </row>
    <row r="1355" spans="1:13" x14ac:dyDescent="0.2">
      <c r="A1355" s="1063">
        <v>53369</v>
      </c>
      <c r="B1355" s="1063" t="s">
        <v>1827</v>
      </c>
      <c r="C1355" s="1064"/>
      <c r="D1355" s="927">
        <f>'[15]Input Sheet'!Q915</f>
        <v>0</v>
      </c>
      <c r="E1355" s="927">
        <f>'[15]Input Sheet'!R915</f>
        <v>16.283950000000001</v>
      </c>
      <c r="F1355" s="911">
        <v>0</v>
      </c>
      <c r="G1355" s="836">
        <v>16.283950000000001</v>
      </c>
      <c r="H1355" s="243"/>
      <c r="I1355" s="243"/>
      <c r="J1355" s="243"/>
      <c r="K1355" s="243"/>
      <c r="L1355" s="243"/>
      <c r="M1355" s="243"/>
    </row>
    <row r="1356" spans="1:13" x14ac:dyDescent="0.2">
      <c r="A1356" s="1063">
        <v>53370</v>
      </c>
      <c r="B1356" s="1063" t="s">
        <v>1828</v>
      </c>
      <c r="C1356" s="1064"/>
      <c r="D1356" s="927">
        <f>'[15]Input Sheet'!Q916</f>
        <v>0</v>
      </c>
      <c r="E1356" s="927">
        <f>'[15]Input Sheet'!R916</f>
        <v>6.4791999999999996</v>
      </c>
      <c r="F1356" s="911">
        <v>0</v>
      </c>
      <c r="G1356" s="836">
        <v>7.476</v>
      </c>
      <c r="H1356" s="243"/>
      <c r="I1356" s="243"/>
      <c r="J1356" s="243"/>
      <c r="K1356" s="243"/>
      <c r="L1356" s="243"/>
      <c r="M1356" s="243"/>
    </row>
    <row r="1357" spans="1:13" x14ac:dyDescent="0.2">
      <c r="A1357" s="1063">
        <v>53371</v>
      </c>
      <c r="B1357" s="1063" t="s">
        <v>1829</v>
      </c>
      <c r="C1357" s="1064"/>
      <c r="D1357" s="927">
        <f>'[15]Input Sheet'!Q917</f>
        <v>0</v>
      </c>
      <c r="E1357" s="927">
        <f>'[15]Input Sheet'!R917</f>
        <v>0</v>
      </c>
      <c r="F1357" s="911">
        <v>0</v>
      </c>
      <c r="G1357" s="836">
        <v>0</v>
      </c>
      <c r="H1357" s="243"/>
      <c r="I1357" s="243"/>
      <c r="J1357" s="243"/>
      <c r="K1357" s="243"/>
      <c r="L1357" s="243"/>
      <c r="M1357" s="243"/>
    </row>
    <row r="1358" spans="1:13" x14ac:dyDescent="0.2">
      <c r="A1358" s="1063">
        <v>53372</v>
      </c>
      <c r="B1358" s="1063" t="s">
        <v>1830</v>
      </c>
      <c r="C1358" s="1064"/>
      <c r="D1358" s="927">
        <f>'[15]Input Sheet'!Q918</f>
        <v>0</v>
      </c>
      <c r="E1358" s="927">
        <f>'[15]Input Sheet'!R918</f>
        <v>10.694736000000001</v>
      </c>
      <c r="F1358" s="911">
        <v>0</v>
      </c>
      <c r="G1358" s="836">
        <v>12.2225552</v>
      </c>
      <c r="H1358" s="243"/>
      <c r="I1358" s="243"/>
      <c r="J1358" s="243"/>
      <c r="K1358" s="243"/>
      <c r="L1358" s="243"/>
      <c r="M1358" s="243"/>
    </row>
    <row r="1359" spans="1:13" x14ac:dyDescent="0.2">
      <c r="A1359" s="1063">
        <v>53373</v>
      </c>
      <c r="B1359" s="1063" t="s">
        <v>1831</v>
      </c>
      <c r="C1359" s="1064"/>
      <c r="D1359" s="927">
        <f>'[15]Input Sheet'!Q919</f>
        <v>0</v>
      </c>
      <c r="E1359" s="927">
        <f>'[15]Input Sheet'!R919</f>
        <v>3.2695399999999999E-2</v>
      </c>
      <c r="F1359" s="911">
        <v>0</v>
      </c>
      <c r="G1359" s="836">
        <v>3.7926599999999998E-2</v>
      </c>
      <c r="H1359" s="243"/>
      <c r="I1359" s="243"/>
      <c r="J1359" s="243"/>
      <c r="K1359" s="243"/>
      <c r="L1359" s="243"/>
      <c r="M1359" s="243"/>
    </row>
    <row r="1360" spans="1:13" x14ac:dyDescent="0.2">
      <c r="A1360" s="1063">
        <v>53374</v>
      </c>
      <c r="B1360" s="1063" t="s">
        <v>1832</v>
      </c>
      <c r="C1360" s="1064"/>
      <c r="D1360" s="927">
        <f>'[15]Input Sheet'!Q920</f>
        <v>0</v>
      </c>
      <c r="E1360" s="927">
        <f>'[15]Input Sheet'!R920</f>
        <v>6.1399996000000003</v>
      </c>
      <c r="F1360" s="911">
        <v>0</v>
      </c>
      <c r="G1360" s="836">
        <v>7.1223995999999996</v>
      </c>
      <c r="H1360" s="243"/>
      <c r="I1360" s="243"/>
      <c r="J1360" s="243"/>
      <c r="K1360" s="243"/>
      <c r="L1360" s="243"/>
      <c r="M1360" s="243"/>
    </row>
    <row r="1361" spans="1:13" x14ac:dyDescent="0.2">
      <c r="A1361" s="1063">
        <v>53375</v>
      </c>
      <c r="B1361" s="1063" t="s">
        <v>1833</v>
      </c>
      <c r="C1361" s="1064"/>
      <c r="D1361" s="927">
        <f>'[15]Input Sheet'!Q921</f>
        <v>0</v>
      </c>
      <c r="E1361" s="927">
        <f>'[15]Input Sheet'!R921</f>
        <v>17.326641800000001</v>
      </c>
      <c r="F1361" s="911">
        <v>0</v>
      </c>
      <c r="G1361" s="836">
        <v>19.801876199999999</v>
      </c>
      <c r="H1361" s="243"/>
      <c r="I1361" s="243"/>
      <c r="J1361" s="243"/>
      <c r="K1361" s="243"/>
      <c r="L1361" s="243"/>
      <c r="M1361" s="243"/>
    </row>
    <row r="1362" spans="1:13" x14ac:dyDescent="0.2">
      <c r="A1362" s="1063">
        <v>53376</v>
      </c>
      <c r="B1362" s="1063" t="s">
        <v>1834</v>
      </c>
      <c r="C1362" s="1064"/>
      <c r="D1362" s="927">
        <f>'[15]Input Sheet'!Q922</f>
        <v>0</v>
      </c>
      <c r="E1362" s="927">
        <f>'[15]Input Sheet'!R922</f>
        <v>7.2305999999999999</v>
      </c>
      <c r="F1362" s="911">
        <v>0</v>
      </c>
      <c r="G1362" s="836">
        <v>8.3018000000000001</v>
      </c>
      <c r="H1362" s="243"/>
      <c r="I1362" s="243"/>
      <c r="J1362" s="243"/>
      <c r="K1362" s="243"/>
      <c r="L1362" s="243"/>
      <c r="M1362" s="243"/>
    </row>
    <row r="1363" spans="1:13" x14ac:dyDescent="0.2">
      <c r="A1363" s="1063">
        <v>53377</v>
      </c>
      <c r="B1363" s="1063" t="s">
        <v>1835</v>
      </c>
      <c r="C1363" s="1064"/>
      <c r="D1363" s="927">
        <f>'[15]Input Sheet'!Q923</f>
        <v>0</v>
      </c>
      <c r="E1363" s="927">
        <f>'[15]Input Sheet'!R923</f>
        <v>5.8760000000000003</v>
      </c>
      <c r="F1363" s="911">
        <v>0</v>
      </c>
      <c r="G1363" s="836">
        <v>6.78</v>
      </c>
      <c r="H1363" s="243"/>
      <c r="I1363" s="243"/>
      <c r="J1363" s="243"/>
      <c r="K1363" s="243"/>
      <c r="L1363" s="243"/>
      <c r="M1363" s="243"/>
    </row>
    <row r="1364" spans="1:13" x14ac:dyDescent="0.2">
      <c r="A1364" s="1063">
        <v>53378</v>
      </c>
      <c r="B1364" s="1063" t="s">
        <v>1836</v>
      </c>
      <c r="C1364" s="1064"/>
      <c r="D1364" s="927">
        <f>'[15]Input Sheet'!Q924</f>
        <v>0</v>
      </c>
      <c r="E1364" s="927">
        <f>'[15]Input Sheet'!R924</f>
        <v>0</v>
      </c>
      <c r="F1364" s="911">
        <v>0</v>
      </c>
      <c r="G1364" s="836">
        <v>0</v>
      </c>
      <c r="H1364" s="243"/>
      <c r="I1364" s="243"/>
      <c r="J1364" s="243"/>
      <c r="K1364" s="243"/>
      <c r="L1364" s="243"/>
      <c r="M1364" s="243"/>
    </row>
    <row r="1365" spans="1:13" x14ac:dyDescent="0.2">
      <c r="A1365" s="1063">
        <v>53379</v>
      </c>
      <c r="B1365" s="1063" t="s">
        <v>1837</v>
      </c>
      <c r="C1365" s="1064"/>
      <c r="D1365" s="927">
        <f>'[15]Input Sheet'!Q925</f>
        <v>0</v>
      </c>
      <c r="E1365" s="927">
        <f>'[15]Input Sheet'!R925</f>
        <v>5.5124997999999996</v>
      </c>
      <c r="F1365" s="911">
        <v>0</v>
      </c>
      <c r="G1365" s="836">
        <v>6.3944998000000002</v>
      </c>
      <c r="H1365" s="243"/>
      <c r="I1365" s="243"/>
      <c r="J1365" s="243"/>
      <c r="K1365" s="243"/>
      <c r="L1365" s="243"/>
      <c r="M1365" s="243"/>
    </row>
    <row r="1366" spans="1:13" x14ac:dyDescent="0.2">
      <c r="A1366" s="1063">
        <v>53380</v>
      </c>
      <c r="B1366" s="1063" t="s">
        <v>1838</v>
      </c>
      <c r="C1366" s="1064"/>
      <c r="D1366" s="927">
        <f>'[15]Input Sheet'!Q926</f>
        <v>0</v>
      </c>
      <c r="E1366" s="927">
        <f>'[15]Input Sheet'!R926</f>
        <v>3353.6356031</v>
      </c>
      <c r="F1366" s="911">
        <v>0</v>
      </c>
      <c r="G1366" s="836">
        <v>3233.8955907</v>
      </c>
      <c r="H1366" s="243"/>
      <c r="I1366" s="243"/>
      <c r="J1366" s="243"/>
      <c r="K1366" s="243"/>
      <c r="L1366" s="243"/>
      <c r="M1366" s="243"/>
    </row>
    <row r="1367" spans="1:13" x14ac:dyDescent="0.2">
      <c r="A1367" s="835">
        <f>+'[15]Input Sheet'!D927</f>
        <v>53381</v>
      </c>
      <c r="B1367" s="1067" t="s">
        <v>1839</v>
      </c>
      <c r="C1367" s="927"/>
      <c r="D1367" s="927">
        <f>'[15]Input Sheet'!Q927</f>
        <v>0</v>
      </c>
      <c r="E1367" s="927">
        <f>'[15]Input Sheet'!R927</f>
        <v>17.289903200000001</v>
      </c>
      <c r="F1367" s="911">
        <v>0</v>
      </c>
      <c r="G1367" s="836">
        <v>19.759889600000001</v>
      </c>
      <c r="H1367" s="243"/>
      <c r="I1367" s="243"/>
      <c r="J1367" s="243"/>
      <c r="K1367" s="243"/>
      <c r="L1367" s="243"/>
      <c r="M1367" s="243"/>
    </row>
    <row r="1368" spans="1:13" x14ac:dyDescent="0.2">
      <c r="A1368" s="835">
        <f>+'[15]Input Sheet'!D928</f>
        <v>53382</v>
      </c>
      <c r="B1368" s="1067" t="s">
        <v>1840</v>
      </c>
      <c r="C1368" s="927"/>
      <c r="D1368" s="927">
        <f>'[15]Input Sheet'!Q928</f>
        <v>0</v>
      </c>
      <c r="E1368" s="927">
        <f>'[15]Input Sheet'!R928</f>
        <v>9.4136000000000006</v>
      </c>
      <c r="F1368" s="911">
        <v>0</v>
      </c>
      <c r="G1368" s="836">
        <v>10.7584</v>
      </c>
      <c r="H1368" s="243"/>
      <c r="I1368" s="243"/>
      <c r="J1368" s="243"/>
      <c r="K1368" s="243"/>
      <c r="L1368" s="243"/>
      <c r="M1368" s="243"/>
    </row>
    <row r="1369" spans="1:13" x14ac:dyDescent="0.2">
      <c r="A1369" s="835">
        <f>+'[15]Input Sheet'!D929</f>
        <v>53383</v>
      </c>
      <c r="B1369" s="1067" t="s">
        <v>1841</v>
      </c>
      <c r="C1369" s="927"/>
      <c r="D1369" s="927">
        <f>'[15]Input Sheet'!Q929</f>
        <v>0</v>
      </c>
      <c r="E1369" s="927">
        <f>'[15]Input Sheet'!R929</f>
        <v>9.5614854999999999</v>
      </c>
      <c r="F1369" s="911">
        <v>0</v>
      </c>
      <c r="G1369" s="836">
        <v>10.795225500000001</v>
      </c>
      <c r="H1369" s="243"/>
      <c r="I1369" s="243"/>
      <c r="J1369" s="243"/>
      <c r="K1369" s="243"/>
      <c r="L1369" s="243"/>
      <c r="M1369" s="243"/>
    </row>
    <row r="1370" spans="1:13" x14ac:dyDescent="0.2">
      <c r="A1370" s="835">
        <f>+'[15]Input Sheet'!D930</f>
        <v>53384</v>
      </c>
      <c r="B1370" s="1067" t="s">
        <v>1842</v>
      </c>
      <c r="C1370" s="927"/>
      <c r="D1370" s="927">
        <f>'[15]Input Sheet'!Q930</f>
        <v>0</v>
      </c>
      <c r="E1370" s="927">
        <f>'[15]Input Sheet'!R930</f>
        <v>57.690738400000001</v>
      </c>
      <c r="F1370" s="911">
        <v>0</v>
      </c>
      <c r="G1370" s="836">
        <v>65.932272400000002</v>
      </c>
      <c r="H1370" s="243"/>
      <c r="I1370" s="243"/>
      <c r="J1370" s="243"/>
      <c r="K1370" s="243"/>
      <c r="L1370" s="243"/>
      <c r="M1370" s="243"/>
    </row>
    <row r="1371" spans="1:13" x14ac:dyDescent="0.2">
      <c r="A1371" s="835">
        <f>+'[15]Input Sheet'!D931</f>
        <v>53385</v>
      </c>
      <c r="B1371" s="1067" t="s">
        <v>1843</v>
      </c>
      <c r="C1371" s="927"/>
      <c r="D1371" s="927">
        <f>'[15]Input Sheet'!Q931</f>
        <v>0</v>
      </c>
      <c r="E1371" s="927">
        <f>'[15]Input Sheet'!R931</f>
        <v>10.880226800000001</v>
      </c>
      <c r="F1371" s="911">
        <v>0</v>
      </c>
      <c r="G1371" s="836">
        <v>12.434544799999999</v>
      </c>
      <c r="H1371" s="243"/>
      <c r="I1371" s="243"/>
      <c r="J1371" s="243"/>
      <c r="K1371" s="243"/>
      <c r="L1371" s="243"/>
      <c r="M1371" s="243"/>
    </row>
    <row r="1372" spans="1:13" x14ac:dyDescent="0.2">
      <c r="A1372" s="835">
        <f>+'[15]Input Sheet'!D932</f>
        <v>53386</v>
      </c>
      <c r="B1372" s="1067" t="s">
        <v>1844</v>
      </c>
      <c r="C1372" s="927"/>
      <c r="D1372" s="927">
        <f>'[15]Input Sheet'!Q932</f>
        <v>0</v>
      </c>
      <c r="E1372" s="927">
        <f>'[15]Input Sheet'!R932</f>
        <v>0</v>
      </c>
      <c r="F1372" s="911">
        <v>0</v>
      </c>
      <c r="G1372" s="836">
        <v>0</v>
      </c>
      <c r="H1372" s="243"/>
      <c r="I1372" s="243"/>
      <c r="J1372" s="243"/>
      <c r="K1372" s="243"/>
      <c r="L1372" s="243"/>
      <c r="M1372" s="243"/>
    </row>
    <row r="1373" spans="1:13" x14ac:dyDescent="0.2">
      <c r="A1373" s="835">
        <f>+'[15]Input Sheet'!D933</f>
        <v>53387</v>
      </c>
      <c r="B1373" s="1067" t="s">
        <v>1845</v>
      </c>
      <c r="C1373" s="927"/>
      <c r="D1373" s="927">
        <f>'[15]Input Sheet'!Q933</f>
        <v>0</v>
      </c>
      <c r="E1373" s="927">
        <f>'[15]Input Sheet'!R933</f>
        <v>6.4512</v>
      </c>
      <c r="F1373" s="911">
        <v>0</v>
      </c>
      <c r="G1373" s="836">
        <v>7.3727999999999998</v>
      </c>
      <c r="H1373" s="243"/>
      <c r="I1373" s="243"/>
      <c r="J1373" s="243"/>
      <c r="K1373" s="243"/>
      <c r="L1373" s="243"/>
      <c r="M1373" s="243"/>
    </row>
    <row r="1374" spans="1:13" x14ac:dyDescent="0.2">
      <c r="A1374" s="835">
        <f>+'[15]Input Sheet'!D934</f>
        <v>53388</v>
      </c>
      <c r="B1374" s="1067" t="s">
        <v>1846</v>
      </c>
      <c r="C1374" s="927"/>
      <c r="D1374" s="927">
        <f>'[15]Input Sheet'!Q934</f>
        <v>0</v>
      </c>
      <c r="E1374" s="927">
        <f>'[15]Input Sheet'!R934</f>
        <v>5.4758693999999997</v>
      </c>
      <c r="F1374" s="911">
        <v>0</v>
      </c>
      <c r="G1374" s="836">
        <v>6.2581366000000003</v>
      </c>
      <c r="H1374" s="243"/>
      <c r="I1374" s="243"/>
      <c r="J1374" s="243"/>
      <c r="K1374" s="243"/>
      <c r="L1374" s="243"/>
      <c r="M1374" s="243"/>
    </row>
    <row r="1375" spans="1:13" x14ac:dyDescent="0.2">
      <c r="A1375" s="835">
        <f>+'[15]Input Sheet'!D935</f>
        <v>53389</v>
      </c>
      <c r="B1375" s="1067" t="s">
        <v>1847</v>
      </c>
      <c r="C1375" s="927"/>
      <c r="D1375" s="927">
        <f>'[15]Input Sheet'!Q935</f>
        <v>0</v>
      </c>
      <c r="E1375" s="927">
        <f>'[15]Input Sheet'!R935</f>
        <v>6.5156670999999999</v>
      </c>
      <c r="F1375" s="911">
        <v>0</v>
      </c>
      <c r="G1375" s="836">
        <v>7.4143799000000001</v>
      </c>
      <c r="H1375" s="243"/>
      <c r="I1375" s="243"/>
      <c r="J1375" s="243"/>
      <c r="K1375" s="243"/>
      <c r="L1375" s="243"/>
      <c r="M1375" s="243"/>
    </row>
    <row r="1376" spans="1:13" x14ac:dyDescent="0.2">
      <c r="A1376" s="835">
        <f>+'[15]Input Sheet'!D936</f>
        <v>53390</v>
      </c>
      <c r="B1376" s="1067" t="s">
        <v>1848</v>
      </c>
      <c r="C1376" s="927"/>
      <c r="D1376" s="927">
        <f>'[15]Input Sheet'!Q936</f>
        <v>0</v>
      </c>
      <c r="E1376" s="927">
        <f>'[15]Input Sheet'!R936</f>
        <v>14.205780000000001</v>
      </c>
      <c r="F1376" s="911">
        <v>0</v>
      </c>
      <c r="G1376" s="836">
        <v>15.3576</v>
      </c>
      <c r="H1376" s="243"/>
      <c r="I1376" s="243"/>
      <c r="J1376" s="243"/>
      <c r="K1376" s="243"/>
      <c r="L1376" s="243"/>
      <c r="M1376" s="243"/>
    </row>
    <row r="1377" spans="1:13" x14ac:dyDescent="0.2">
      <c r="A1377" s="835">
        <f>+'[15]Input Sheet'!D937</f>
        <v>53391</v>
      </c>
      <c r="B1377" s="1067" t="s">
        <v>1849</v>
      </c>
      <c r="C1377" s="927"/>
      <c r="D1377" s="927">
        <f>'[15]Input Sheet'!Q937</f>
        <v>0</v>
      </c>
      <c r="E1377" s="927">
        <f>'[15]Input Sheet'!R937</f>
        <v>11.645877799999999</v>
      </c>
      <c r="F1377" s="911">
        <v>0</v>
      </c>
      <c r="G1377" s="836">
        <v>13.3927598</v>
      </c>
      <c r="H1377" s="243"/>
      <c r="I1377" s="243"/>
      <c r="J1377" s="243"/>
      <c r="K1377" s="243"/>
      <c r="L1377" s="243"/>
      <c r="M1377" s="243"/>
    </row>
    <row r="1378" spans="1:13" x14ac:dyDescent="0.2">
      <c r="A1378" s="835">
        <f>+'[15]Input Sheet'!D938</f>
        <v>53392</v>
      </c>
      <c r="B1378" s="1067" t="s">
        <v>1850</v>
      </c>
      <c r="C1378" s="927"/>
      <c r="D1378" s="927">
        <f>'[15]Input Sheet'!Q938</f>
        <v>0</v>
      </c>
      <c r="E1378" s="927">
        <f>'[15]Input Sheet'!R938</f>
        <v>7.420248</v>
      </c>
      <c r="F1378" s="911">
        <v>0</v>
      </c>
      <c r="G1378" s="836">
        <v>7.420248</v>
      </c>
      <c r="H1378" s="243"/>
      <c r="I1378" s="243"/>
      <c r="J1378" s="243"/>
      <c r="K1378" s="243"/>
      <c r="L1378" s="243"/>
      <c r="M1378" s="243"/>
    </row>
    <row r="1379" spans="1:13" x14ac:dyDescent="0.2">
      <c r="A1379" s="835">
        <f>+'[15]Input Sheet'!D939</f>
        <v>53393</v>
      </c>
      <c r="B1379" s="1067" t="s">
        <v>1851</v>
      </c>
      <c r="C1379" s="927"/>
      <c r="D1379" s="927">
        <f>'[15]Input Sheet'!Q939</f>
        <v>0</v>
      </c>
      <c r="E1379" s="927">
        <f>'[15]Input Sheet'!R939</f>
        <v>0</v>
      </c>
      <c r="F1379" s="911">
        <v>0</v>
      </c>
      <c r="G1379" s="836">
        <v>0</v>
      </c>
      <c r="H1379" s="243"/>
      <c r="I1379" s="243"/>
      <c r="J1379" s="243"/>
      <c r="K1379" s="243"/>
      <c r="L1379" s="243"/>
      <c r="M1379" s="243"/>
    </row>
    <row r="1380" spans="1:13" x14ac:dyDescent="0.2">
      <c r="A1380" s="835">
        <f>+'[15]Input Sheet'!D940</f>
        <v>53394</v>
      </c>
      <c r="B1380" s="1067" t="s">
        <v>1852</v>
      </c>
      <c r="C1380" s="927"/>
      <c r="D1380" s="927">
        <f>'[15]Input Sheet'!Q940</f>
        <v>0</v>
      </c>
      <c r="E1380" s="927">
        <f>'[15]Input Sheet'!R940</f>
        <v>8.0041344999999993</v>
      </c>
      <c r="F1380" s="911">
        <v>0</v>
      </c>
      <c r="G1380" s="836">
        <v>9.0713524999999997</v>
      </c>
      <c r="H1380" s="243"/>
      <c r="I1380" s="243"/>
      <c r="J1380" s="243"/>
      <c r="K1380" s="243"/>
      <c r="L1380" s="243"/>
      <c r="M1380" s="243"/>
    </row>
    <row r="1381" spans="1:13" x14ac:dyDescent="0.2">
      <c r="A1381" s="835">
        <f>+'[15]Input Sheet'!D941</f>
        <v>53395</v>
      </c>
      <c r="B1381" s="1067" t="s">
        <v>1853</v>
      </c>
      <c r="C1381" s="927"/>
      <c r="D1381" s="927">
        <f>'[15]Input Sheet'!Q941</f>
        <v>0</v>
      </c>
      <c r="E1381" s="927">
        <f>'[15]Input Sheet'!R941</f>
        <v>6.2682000000000002</v>
      </c>
      <c r="F1381" s="911">
        <v>0</v>
      </c>
      <c r="G1381" s="836">
        <v>7.077</v>
      </c>
      <c r="H1381" s="243"/>
      <c r="I1381" s="243"/>
      <c r="J1381" s="243"/>
      <c r="K1381" s="243"/>
      <c r="L1381" s="243"/>
      <c r="M1381" s="243"/>
    </row>
    <row r="1382" spans="1:13" x14ac:dyDescent="0.2">
      <c r="A1382" s="835">
        <f>+'[15]Input Sheet'!D942</f>
        <v>53396</v>
      </c>
      <c r="B1382" s="1067" t="s">
        <v>1854</v>
      </c>
      <c r="C1382" s="927"/>
      <c r="D1382" s="927">
        <f>'[15]Input Sheet'!Q942</f>
        <v>0</v>
      </c>
      <c r="E1382" s="927">
        <f>'[15]Input Sheet'!R942</f>
        <v>7.2118501000000004</v>
      </c>
      <c r="F1382" s="911">
        <v>0</v>
      </c>
      <c r="G1382" s="836">
        <v>8.1424112999999991</v>
      </c>
      <c r="H1382" s="243"/>
      <c r="I1382" s="243"/>
      <c r="J1382" s="243"/>
      <c r="K1382" s="243"/>
      <c r="L1382" s="243"/>
      <c r="M1382" s="243"/>
    </row>
    <row r="1383" spans="1:13" x14ac:dyDescent="0.2">
      <c r="A1383" s="835">
        <f>+'[15]Input Sheet'!D943</f>
        <v>53397</v>
      </c>
      <c r="B1383" s="1067" t="s">
        <v>1855</v>
      </c>
      <c r="C1383" s="927"/>
      <c r="D1383" s="927">
        <f>'[15]Input Sheet'!Q943</f>
        <v>0</v>
      </c>
      <c r="E1383" s="927">
        <f>'[15]Input Sheet'!R943</f>
        <v>6.7874227579999999</v>
      </c>
      <c r="F1383" s="911">
        <v>0</v>
      </c>
      <c r="G1383" s="836">
        <v>7.2876124000000004</v>
      </c>
      <c r="H1383" s="243"/>
      <c r="I1383" s="243"/>
      <c r="J1383" s="243"/>
      <c r="K1383" s="243"/>
      <c r="L1383" s="243"/>
      <c r="M1383" s="243"/>
    </row>
    <row r="1384" spans="1:13" x14ac:dyDescent="0.2">
      <c r="A1384" s="835">
        <f>+'[15]Input Sheet'!D944</f>
        <v>53398</v>
      </c>
      <c r="B1384" s="1067" t="s">
        <v>1856</v>
      </c>
      <c r="C1384" s="927"/>
      <c r="D1384" s="927">
        <f>'[15]Input Sheet'!Q944</f>
        <v>0</v>
      </c>
      <c r="E1384" s="927">
        <f>'[15]Input Sheet'!R944</f>
        <v>5.2457022999999996</v>
      </c>
      <c r="F1384" s="911">
        <v>0</v>
      </c>
      <c r="G1384" s="836">
        <v>5.9225671000000002</v>
      </c>
      <c r="H1384" s="243"/>
      <c r="I1384" s="243"/>
      <c r="J1384" s="243"/>
      <c r="K1384" s="243"/>
      <c r="L1384" s="243"/>
      <c r="M1384" s="243"/>
    </row>
    <row r="1385" spans="1:13" x14ac:dyDescent="0.2">
      <c r="A1385" s="835">
        <f>+'[15]Input Sheet'!D945</f>
        <v>53399</v>
      </c>
      <c r="B1385" s="1067" t="s">
        <v>1857</v>
      </c>
      <c r="C1385" s="927"/>
      <c r="D1385" s="927">
        <f>'[15]Input Sheet'!Q945</f>
        <v>0</v>
      </c>
      <c r="E1385" s="927">
        <f>'[15]Input Sheet'!R945</f>
        <v>1.53</v>
      </c>
      <c r="F1385" s="911">
        <v>0</v>
      </c>
      <c r="G1385" s="836">
        <v>1.734</v>
      </c>
      <c r="H1385" s="243"/>
      <c r="I1385" s="243"/>
      <c r="J1385" s="243"/>
      <c r="K1385" s="243"/>
      <c r="L1385" s="243"/>
      <c r="M1385" s="243"/>
    </row>
    <row r="1386" spans="1:13" x14ac:dyDescent="0.2">
      <c r="A1386" s="835">
        <f>+'[15]Input Sheet'!D946</f>
        <v>53400</v>
      </c>
      <c r="B1386" s="1066" t="s">
        <v>1858</v>
      </c>
      <c r="C1386" s="927"/>
      <c r="D1386" s="927">
        <f>'[15]Input Sheet'!Q946</f>
        <v>0</v>
      </c>
      <c r="E1386" s="927">
        <f>'[15]Input Sheet'!R946</f>
        <v>6.7519999999999998</v>
      </c>
      <c r="F1386" s="911">
        <v>0</v>
      </c>
      <c r="G1386" s="836">
        <v>7.5960000000000001</v>
      </c>
      <c r="H1386" s="243"/>
      <c r="I1386" s="243"/>
      <c r="J1386" s="243"/>
      <c r="K1386" s="243"/>
      <c r="L1386" s="243"/>
      <c r="M1386" s="243"/>
    </row>
    <row r="1387" spans="1:13" x14ac:dyDescent="0.2">
      <c r="A1387" s="835">
        <f>+'[15]Input Sheet'!D947</f>
        <v>53440</v>
      </c>
      <c r="B1387" s="1067" t="str">
        <f>+'[15]Input Sheet'!E947</f>
        <v>REC LT - 14661 (Capex - Koradi TPS)</v>
      </c>
      <c r="C1387" s="927"/>
      <c r="D1387" s="927">
        <f>'[15]Input Sheet'!Q947</f>
        <v>0</v>
      </c>
      <c r="E1387" s="927">
        <f>'[15]Input Sheet'!R947</f>
        <v>3.0969989999999998</v>
      </c>
      <c r="H1387" s="243"/>
      <c r="I1387" s="243"/>
      <c r="J1387" s="243"/>
      <c r="K1387" s="243"/>
      <c r="L1387" s="243"/>
      <c r="M1387" s="243"/>
    </row>
    <row r="1388" spans="1:13" x14ac:dyDescent="0.2">
      <c r="A1388" s="835">
        <f>+'[15]Input Sheet'!D1013</f>
        <v>53551</v>
      </c>
      <c r="B1388" s="1066" t="s">
        <v>1859</v>
      </c>
      <c r="C1388" s="927"/>
      <c r="D1388" s="927">
        <f>'[15]Input Sheet'!Q1013</f>
        <v>0</v>
      </c>
      <c r="E1388" s="927">
        <f>'[15]Input Sheet'!R1013</f>
        <v>9.2517163999999994</v>
      </c>
      <c r="F1388" s="911">
        <v>0</v>
      </c>
      <c r="G1388" s="836">
        <v>10.527815199999999</v>
      </c>
      <c r="H1388" s="243"/>
      <c r="I1388" s="243"/>
      <c r="J1388" s="243"/>
      <c r="K1388" s="243"/>
      <c r="L1388" s="243"/>
      <c r="M1388" s="243"/>
    </row>
    <row r="1389" spans="1:13" x14ac:dyDescent="0.2">
      <c r="A1389" s="835">
        <f>+'[15]Input Sheet'!D1014</f>
        <v>53552</v>
      </c>
      <c r="B1389" s="1066" t="s">
        <v>1860</v>
      </c>
      <c r="C1389" s="927"/>
      <c r="D1389" s="927">
        <f>'[15]Input Sheet'!Q1014</f>
        <v>0</v>
      </c>
      <c r="E1389" s="927">
        <f>'[15]Input Sheet'!R1014</f>
        <v>8.0835551999999993</v>
      </c>
      <c r="F1389" s="911">
        <v>0</v>
      </c>
      <c r="G1389" s="836">
        <v>9.0939999999999994</v>
      </c>
      <c r="H1389" s="243"/>
      <c r="I1389" s="243"/>
      <c r="J1389" s="243"/>
      <c r="K1389" s="243"/>
      <c r="L1389" s="243"/>
      <c r="M1389" s="243"/>
    </row>
    <row r="1390" spans="1:13" x14ac:dyDescent="0.2">
      <c r="A1390" s="835">
        <f>+'[15]Input Sheet'!D1015</f>
        <v>53553</v>
      </c>
      <c r="B1390" s="1066" t="s">
        <v>1861</v>
      </c>
      <c r="C1390" s="927"/>
      <c r="D1390" s="927">
        <f>'[15]Input Sheet'!Q1015</f>
        <v>0</v>
      </c>
      <c r="E1390" s="927">
        <f>'[15]Input Sheet'!R1015</f>
        <v>8.8674158999999992</v>
      </c>
      <c r="F1390" s="911">
        <v>0</v>
      </c>
      <c r="G1390" s="836">
        <v>9.9644162999999999</v>
      </c>
      <c r="H1390" s="243"/>
      <c r="I1390" s="243"/>
      <c r="J1390" s="243"/>
      <c r="K1390" s="243"/>
      <c r="L1390" s="243"/>
      <c r="M1390" s="243"/>
    </row>
    <row r="1391" spans="1:13" x14ac:dyDescent="0.2">
      <c r="A1391" s="835">
        <f>+'[15]Input Sheet'!D1016</f>
        <v>53554</v>
      </c>
      <c r="B1391" s="1066" t="s">
        <v>1862</v>
      </c>
      <c r="C1391" s="927"/>
      <c r="D1391" s="927">
        <f>'[15]Input Sheet'!Q1016</f>
        <v>0</v>
      </c>
      <c r="E1391" s="927">
        <f>'[15]Input Sheet'!R1016</f>
        <v>11.98925</v>
      </c>
      <c r="F1391" s="911">
        <v>0</v>
      </c>
      <c r="G1391" s="836">
        <v>13.536250000000001</v>
      </c>
      <c r="H1391" s="243"/>
      <c r="I1391" s="243"/>
      <c r="J1391" s="243"/>
      <c r="K1391" s="243"/>
      <c r="L1391" s="243"/>
      <c r="M1391" s="243"/>
    </row>
    <row r="1392" spans="1:13" x14ac:dyDescent="0.2">
      <c r="A1392" s="835">
        <f>+'[15]Input Sheet'!D1017</f>
        <v>53555</v>
      </c>
      <c r="B1392" s="1066" t="s">
        <v>1863</v>
      </c>
      <c r="C1392" s="927"/>
      <c r="D1392" s="927">
        <f>'[15]Input Sheet'!Q1017</f>
        <v>0</v>
      </c>
      <c r="E1392" s="927">
        <f>'[15]Input Sheet'!R1017</f>
        <v>8.3300608999999994</v>
      </c>
      <c r="F1392" s="911">
        <v>0</v>
      </c>
      <c r="G1392" s="836">
        <v>8.6173044999999995</v>
      </c>
      <c r="H1392" s="243"/>
      <c r="I1392" s="243"/>
      <c r="J1392" s="243"/>
      <c r="K1392" s="243"/>
      <c r="L1392" s="243"/>
      <c r="M1392" s="243"/>
    </row>
    <row r="1393" spans="1:13" x14ac:dyDescent="0.2">
      <c r="A1393" s="835">
        <f>+'[15]Input Sheet'!D1018</f>
        <v>53556</v>
      </c>
      <c r="B1393" s="1066" t="s">
        <v>1864</v>
      </c>
      <c r="C1393" s="927"/>
      <c r="D1393" s="927">
        <f>'[15]Input Sheet'!Q1018</f>
        <v>0</v>
      </c>
      <c r="E1393" s="927">
        <f>'[15]Input Sheet'!R1018</f>
        <v>17.978744800000001</v>
      </c>
      <c r="F1393" s="911">
        <v>0</v>
      </c>
      <c r="G1393" s="836">
        <v>17.277994700000001</v>
      </c>
      <c r="H1393" s="243"/>
      <c r="I1393" s="243"/>
      <c r="J1393" s="243"/>
      <c r="K1393" s="243"/>
      <c r="L1393" s="243"/>
      <c r="M1393" s="243"/>
    </row>
    <row r="1394" spans="1:13" x14ac:dyDescent="0.2">
      <c r="A1394" s="835">
        <f>+'[15]Input Sheet'!D1019</f>
        <v>53557</v>
      </c>
      <c r="B1394" s="1066" t="s">
        <v>1865</v>
      </c>
      <c r="C1394" s="927"/>
      <c r="D1394" s="927">
        <f>'[15]Input Sheet'!Q1019</f>
        <v>0</v>
      </c>
      <c r="E1394" s="927">
        <f>'[15]Input Sheet'!R1019</f>
        <v>0</v>
      </c>
      <c r="F1394" s="911">
        <v>0</v>
      </c>
      <c r="G1394" s="836">
        <v>0</v>
      </c>
      <c r="H1394" s="243"/>
      <c r="I1394" s="243"/>
      <c r="J1394" s="243"/>
      <c r="K1394" s="243"/>
      <c r="L1394" s="243"/>
      <c r="M1394" s="243"/>
    </row>
    <row r="1395" spans="1:13" x14ac:dyDescent="0.2">
      <c r="A1395" s="835">
        <f>+'[15]Input Sheet'!D1020</f>
        <v>53558</v>
      </c>
      <c r="B1395" s="1066" t="s">
        <v>1866</v>
      </c>
      <c r="C1395" s="927"/>
      <c r="D1395" s="927">
        <f>'[15]Input Sheet'!Q1020</f>
        <v>0</v>
      </c>
      <c r="E1395" s="927">
        <f>'[15]Input Sheet'!R1020</f>
        <v>0</v>
      </c>
      <c r="F1395" s="911">
        <v>0</v>
      </c>
      <c r="G1395" s="836">
        <v>0</v>
      </c>
    </row>
    <row r="1396" spans="1:13" x14ac:dyDescent="0.2">
      <c r="A1396" s="835">
        <f>'[15]Input Sheet'!D1021</f>
        <v>53559</v>
      </c>
      <c r="B1396" s="1067" t="str">
        <f>'[15]Input Sheet'!E1021</f>
        <v>REC LT-15090 (Bhusawal Repl)</v>
      </c>
      <c r="C1396" s="927"/>
      <c r="D1396" s="927">
        <f>'[15]Input Sheet'!Q1021</f>
        <v>0</v>
      </c>
      <c r="E1396" s="927">
        <f>'[15]Input Sheet'!R1021</f>
        <v>212.26280700000001</v>
      </c>
      <c r="F1396" s="911">
        <v>0</v>
      </c>
      <c r="G1396" s="836">
        <v>57.145556599999999</v>
      </c>
    </row>
    <row r="1397" spans="1:13" x14ac:dyDescent="0.2">
      <c r="A1397" s="835">
        <f>+'[15]Input Sheet'!D1022</f>
        <v>53560</v>
      </c>
      <c r="B1397" s="1066" t="s">
        <v>1867</v>
      </c>
      <c r="C1397" s="927"/>
      <c r="D1397" s="927">
        <f>'[15]Input Sheet'!Q1022</f>
        <v>0</v>
      </c>
      <c r="E1397" s="927">
        <f>'[15]Input Sheet'!R1022</f>
        <v>403.57052060000001</v>
      </c>
      <c r="F1397" s="911">
        <v>0</v>
      </c>
      <c r="G1397" s="836">
        <v>480.4410962</v>
      </c>
    </row>
    <row r="1398" spans="1:13" x14ac:dyDescent="0.2">
      <c r="A1398" s="835">
        <v>53562</v>
      </c>
      <c r="B1398" s="1066" t="s">
        <v>1868</v>
      </c>
      <c r="C1398" s="927"/>
      <c r="D1398" s="927">
        <f>'[15]Input Sheet'!Q1023</f>
        <v>0</v>
      </c>
      <c r="E1398" s="927">
        <f>'[15]Input Sheet'!R1023</f>
        <v>5.1847764999999999</v>
      </c>
      <c r="F1398" s="911">
        <v>0</v>
      </c>
      <c r="G1398" s="836">
        <v>4.3018941999999996</v>
      </c>
    </row>
    <row r="1399" spans="1:13" x14ac:dyDescent="0.2">
      <c r="A1399" s="835">
        <f>+'[15]Input Sheet'!D1024</f>
        <v>53563</v>
      </c>
      <c r="B1399" s="1066" t="s">
        <v>1869</v>
      </c>
      <c r="C1399" s="927"/>
      <c r="D1399" s="927">
        <f>'[15]Input Sheet'!Q1024</f>
        <v>0</v>
      </c>
      <c r="E1399" s="927">
        <f>'[15]Input Sheet'!R1024</f>
        <v>17.3596675</v>
      </c>
      <c r="F1399" s="911">
        <v>0</v>
      </c>
      <c r="G1399" s="836">
        <v>19.552467100000001</v>
      </c>
    </row>
    <row r="1400" spans="1:13" x14ac:dyDescent="0.2">
      <c r="A1400" s="835">
        <f>+'[15]Input Sheet'!D1025</f>
        <v>53564</v>
      </c>
      <c r="B1400" s="1066" t="s">
        <v>1869</v>
      </c>
      <c r="C1400" s="927"/>
      <c r="D1400" s="927">
        <f>'[15]Input Sheet'!Q1025</f>
        <v>0</v>
      </c>
      <c r="E1400" s="927">
        <f>'[15]Input Sheet'!R1025</f>
        <v>7.86592</v>
      </c>
    </row>
    <row r="1401" spans="1:13" x14ac:dyDescent="0.2">
      <c r="A1401" s="835">
        <v>53565</v>
      </c>
      <c r="B1401" s="1066" t="s">
        <v>1870</v>
      </c>
      <c r="C1401" s="927"/>
      <c r="D1401" s="927">
        <f>'[15]Input Sheet'!Q1026</f>
        <v>0</v>
      </c>
      <c r="E1401" s="927">
        <f>'[15]Input Sheet'!R1026</f>
        <v>18.5406552</v>
      </c>
    </row>
    <row r="1402" spans="1:13" x14ac:dyDescent="0.2">
      <c r="A1402" s="835">
        <f>+'[15]Input Sheet'!D1027</f>
        <v>53566</v>
      </c>
      <c r="B1402" s="1066" t="s">
        <v>1871</v>
      </c>
      <c r="C1402" s="927"/>
      <c r="D1402" s="927">
        <f>'[15]Input Sheet'!Q1027</f>
        <v>0</v>
      </c>
      <c r="E1402" s="927">
        <f>'[15]Input Sheet'!R1027</f>
        <v>17.1200008</v>
      </c>
      <c r="F1402" s="911">
        <v>0</v>
      </c>
      <c r="G1402" s="836">
        <v>19.260000399999999</v>
      </c>
    </row>
    <row r="1403" spans="1:13" x14ac:dyDescent="0.2">
      <c r="A1403" s="835">
        <v>53568</v>
      </c>
      <c r="B1403" s="1066" t="s">
        <v>1872</v>
      </c>
      <c r="C1403" s="927"/>
      <c r="D1403" s="927">
        <f>'[15]Input Sheet'!Q1028</f>
        <v>0</v>
      </c>
      <c r="E1403" s="927">
        <f>'[15]Input Sheet'!R1028</f>
        <v>8.4149999999999991</v>
      </c>
      <c r="F1403" s="911">
        <v>0</v>
      </c>
      <c r="G1403" s="836">
        <v>9.18</v>
      </c>
    </row>
    <row r="1404" spans="1:13" x14ac:dyDescent="0.2">
      <c r="A1404" s="835">
        <v>53569</v>
      </c>
      <c r="B1404" s="1066" t="s">
        <v>1873</v>
      </c>
      <c r="C1404" s="927"/>
      <c r="D1404" s="927">
        <f>'[15]Input Sheet'!Q1029</f>
        <v>0</v>
      </c>
      <c r="E1404" s="927">
        <f>'[15]Input Sheet'!R1029</f>
        <v>1.2502884999999999</v>
      </c>
      <c r="F1404" s="911">
        <v>0</v>
      </c>
      <c r="G1404" s="836">
        <v>1.2502884999999999</v>
      </c>
    </row>
    <row r="1405" spans="1:13" x14ac:dyDescent="0.2">
      <c r="A1405" s="835">
        <f>'[15]Input Sheet'!D1030</f>
        <v>53571</v>
      </c>
      <c r="B1405" s="1066" t="str">
        <f>'[15]Input Sheet'!E1030</f>
        <v>REC LT-15060(Capex-Khaperkheda TPS)</v>
      </c>
      <c r="C1405" s="927"/>
      <c r="D1405" s="927">
        <f>'[15]Input Sheet'!Q1030</f>
        <v>0</v>
      </c>
      <c r="E1405" s="927">
        <f>'[15]Input Sheet'!R1030</f>
        <v>12.826558800000001</v>
      </c>
      <c r="F1405" s="911">
        <v>0</v>
      </c>
      <c r="G1405" s="836">
        <v>10.7826948</v>
      </c>
    </row>
    <row r="1406" spans="1:13" x14ac:dyDescent="0.2">
      <c r="A1406" s="835">
        <v>53572</v>
      </c>
      <c r="B1406" s="1066" t="s">
        <v>1874</v>
      </c>
      <c r="C1406" s="927"/>
      <c r="D1406" s="927">
        <f>'[15]Input Sheet'!Q1031</f>
        <v>0</v>
      </c>
      <c r="E1406" s="927">
        <f>'[15]Input Sheet'!R1031</f>
        <v>7.2428125000000003</v>
      </c>
      <c r="F1406" s="911">
        <v>0</v>
      </c>
      <c r="G1406" s="836">
        <v>8.3715624999999996</v>
      </c>
    </row>
    <row r="1407" spans="1:13" x14ac:dyDescent="0.2">
      <c r="A1407" s="835">
        <v>53573</v>
      </c>
      <c r="B1407" s="927" t="s">
        <v>1875</v>
      </c>
      <c r="C1407" s="927"/>
      <c r="D1407" s="927">
        <f>'[15]Input Sheet'!Q1032</f>
        <v>0</v>
      </c>
      <c r="E1407" s="927">
        <f>'[15]Input Sheet'!R1032</f>
        <v>3.3270206999999998</v>
      </c>
    </row>
    <row r="1408" spans="1:13" x14ac:dyDescent="0.2">
      <c r="A1408" s="835">
        <v>53574</v>
      </c>
      <c r="B1408" s="1066" t="s">
        <v>1876</v>
      </c>
      <c r="C1408" s="927"/>
      <c r="D1408" s="927">
        <f>'[15]Input Sheet'!Q1033</f>
        <v>0</v>
      </c>
      <c r="E1408" s="927">
        <f>'[15]Input Sheet'!R1033</f>
        <v>10.542</v>
      </c>
      <c r="F1408" s="911">
        <v>0</v>
      </c>
      <c r="G1408" s="836">
        <v>12.048</v>
      </c>
    </row>
    <row r="1409" spans="1:7" x14ac:dyDescent="0.2">
      <c r="A1409" s="835">
        <v>53575</v>
      </c>
      <c r="B1409" s="1066" t="s">
        <v>1877</v>
      </c>
      <c r="C1409" s="927"/>
      <c r="D1409" s="927">
        <f>'[15]Input Sheet'!Q1034</f>
        <v>0</v>
      </c>
      <c r="E1409" s="927">
        <f>'[15]Input Sheet'!R1034</f>
        <v>7.1133328000000002</v>
      </c>
      <c r="F1409" s="911">
        <v>0</v>
      </c>
      <c r="G1409" s="836">
        <v>8.1803331999999997</v>
      </c>
    </row>
    <row r="1410" spans="1:7" x14ac:dyDescent="0.2">
      <c r="A1410" s="835">
        <v>53576</v>
      </c>
      <c r="B1410" s="1066" t="s">
        <v>1878</v>
      </c>
      <c r="C1410" s="927"/>
      <c r="D1410" s="927">
        <f>'[15]Input Sheet'!Q1035</f>
        <v>0</v>
      </c>
      <c r="E1410" s="927">
        <f>'[15]Input Sheet'!R1035</f>
        <v>6.9073672999999998</v>
      </c>
      <c r="F1410" s="911">
        <v>0</v>
      </c>
      <c r="G1410" s="836">
        <v>7.7531669000000001</v>
      </c>
    </row>
    <row r="1411" spans="1:7" x14ac:dyDescent="0.2">
      <c r="A1411" s="835">
        <f>'[15]Input Sheet'!D1036</f>
        <v>53577</v>
      </c>
      <c r="B1411" s="1067" t="str">
        <f>'[15]Input Sheet'!E1036</f>
        <v>REC LT-15067(Capex-Koyna HPS)</v>
      </c>
      <c r="C1411" s="927"/>
      <c r="D1411" s="927">
        <f>'[15]Input Sheet'!Q1036</f>
        <v>0</v>
      </c>
      <c r="E1411" s="927">
        <f>'[15]Input Sheet'!R1036</f>
        <v>6.6738350000000004</v>
      </c>
      <c r="F1411" s="911">
        <v>0</v>
      </c>
      <c r="G1411" s="836">
        <v>7.8188370000000003</v>
      </c>
    </row>
    <row r="1412" spans="1:7" x14ac:dyDescent="0.2">
      <c r="A1412" s="835">
        <v>53580</v>
      </c>
      <c r="B1412" s="1066" t="s">
        <v>1879</v>
      </c>
      <c r="C1412" s="927"/>
      <c r="D1412" s="927">
        <f>'[15]Input Sheet'!Q1037</f>
        <v>0</v>
      </c>
      <c r="E1412" s="927">
        <f>'[15]Input Sheet'!R1037</f>
        <v>7.8844368999999999</v>
      </c>
      <c r="F1412" s="911">
        <v>0</v>
      </c>
      <c r="G1412" s="836">
        <v>4.0413686999999996</v>
      </c>
    </row>
    <row r="1413" spans="1:7" x14ac:dyDescent="0.2">
      <c r="A1413" s="835">
        <v>53581</v>
      </c>
      <c r="B1413" s="1066" t="s">
        <v>1880</v>
      </c>
      <c r="C1413" s="927"/>
      <c r="D1413" s="927">
        <f>'[15]Input Sheet'!Q1038</f>
        <v>0</v>
      </c>
      <c r="E1413" s="927">
        <f>'[15]Input Sheet'!R1038</f>
        <v>5.8937631000000001</v>
      </c>
      <c r="F1413" s="911">
        <v>0</v>
      </c>
      <c r="G1413" s="836">
        <v>5.8583692000000003</v>
      </c>
    </row>
    <row r="1414" spans="1:7" x14ac:dyDescent="0.2">
      <c r="A1414" s="835">
        <f>+'[15]Input Sheet'!D1039</f>
        <v>53584</v>
      </c>
      <c r="B1414" s="1066" t="s">
        <v>1881</v>
      </c>
      <c r="C1414" s="927"/>
      <c r="D1414" s="927">
        <f>'[15]Input Sheet'!Q1039</f>
        <v>0</v>
      </c>
      <c r="E1414" s="927">
        <f>'[15]Input Sheet'!R1039</f>
        <v>5.0214591999999998</v>
      </c>
      <c r="F1414" s="911">
        <v>0</v>
      </c>
      <c r="G1414" s="836">
        <v>16.427396000000002</v>
      </c>
    </row>
    <row r="1415" spans="1:7" x14ac:dyDescent="0.2">
      <c r="A1415" s="835">
        <v>53585</v>
      </c>
      <c r="B1415" s="1066" t="s">
        <v>1882</v>
      </c>
      <c r="C1415" s="927"/>
      <c r="D1415" s="927">
        <f>'[15]Input Sheet'!Q1040</f>
        <v>0</v>
      </c>
      <c r="E1415" s="927">
        <f>'[15]Input Sheet'!R1040</f>
        <v>14.261146399999999</v>
      </c>
      <c r="F1415" s="911">
        <v>0</v>
      </c>
      <c r="G1415" s="836">
        <v>11.7230002</v>
      </c>
    </row>
    <row r="1416" spans="1:7" x14ac:dyDescent="0.2">
      <c r="A1416" s="835">
        <v>53587</v>
      </c>
      <c r="B1416" s="1066" t="s">
        <v>1883</v>
      </c>
      <c r="C1416" s="927"/>
      <c r="D1416" s="927">
        <f>'[15]Input Sheet'!Q1041</f>
        <v>0</v>
      </c>
      <c r="E1416" s="927">
        <f>'[15]Input Sheet'!R1041</f>
        <v>10.489000600000001</v>
      </c>
      <c r="F1416" s="911">
        <v>0</v>
      </c>
      <c r="G1416" s="836">
        <v>8.52</v>
      </c>
    </row>
    <row r="1417" spans="1:7" x14ac:dyDescent="0.2">
      <c r="A1417" s="835">
        <v>53588</v>
      </c>
      <c r="B1417" s="1066" t="s">
        <v>1884</v>
      </c>
      <c r="C1417" s="927"/>
      <c r="D1417" s="927">
        <f>'[15]Input Sheet'!Q1042</f>
        <v>0</v>
      </c>
      <c r="E1417" s="927">
        <f>'[15]Input Sheet'!R1042</f>
        <v>7.6680000000000001</v>
      </c>
      <c r="F1417" s="911">
        <v>0</v>
      </c>
      <c r="G1417" s="836">
        <v>2.8145699999999998</v>
      </c>
    </row>
    <row r="1418" spans="1:7" x14ac:dyDescent="0.2">
      <c r="A1418" s="835">
        <v>53590</v>
      </c>
      <c r="B1418" s="1066" t="s">
        <v>1885</v>
      </c>
      <c r="C1418" s="927"/>
      <c r="D1418" s="927">
        <f>'[15]Input Sheet'!Q1043</f>
        <v>0</v>
      </c>
      <c r="E1418" s="927">
        <f>'[15]Input Sheet'!R1043</f>
        <v>2.8145699999999998</v>
      </c>
      <c r="F1418" s="911">
        <v>0</v>
      </c>
      <c r="G1418" s="836">
        <v>-7.9999999999999996E-7</v>
      </c>
    </row>
    <row r="1419" spans="1:7" x14ac:dyDescent="0.2">
      <c r="A1419" s="835">
        <f>+'[15]Input Sheet'!D1044</f>
        <v>53591</v>
      </c>
      <c r="B1419" s="1066" t="s">
        <v>1886</v>
      </c>
      <c r="C1419" s="927"/>
      <c r="D1419" s="927">
        <f>'[15]Input Sheet'!Q1044</f>
        <v>0</v>
      </c>
      <c r="E1419" s="927">
        <f>'[15]Input Sheet'!R1044</f>
        <v>0</v>
      </c>
      <c r="F1419" s="911">
        <v>0</v>
      </c>
      <c r="G1419" s="836">
        <v>938.07950470000003</v>
      </c>
    </row>
    <row r="1420" spans="1:7" x14ac:dyDescent="0.2">
      <c r="A1420" s="835">
        <v>53592</v>
      </c>
      <c r="B1420" s="1066" t="s">
        <v>1887</v>
      </c>
      <c r="C1420" s="927"/>
      <c r="D1420" s="927">
        <f>'[15]Input Sheet'!Q1045</f>
        <v>0</v>
      </c>
      <c r="E1420" s="927">
        <f>'[15]Input Sheet'!R1045</f>
        <v>814.23961150000002</v>
      </c>
      <c r="F1420" s="911">
        <v>0</v>
      </c>
      <c r="G1420" s="836">
        <v>0.17399999999999999</v>
      </c>
    </row>
    <row r="1421" spans="1:7" x14ac:dyDescent="0.2">
      <c r="A1421" s="835">
        <v>53593</v>
      </c>
      <c r="B1421" s="1066" t="s">
        <v>1888</v>
      </c>
      <c r="C1421" s="927"/>
      <c r="D1421" s="927">
        <f>'[15]Input Sheet'!Q1046</f>
        <v>0</v>
      </c>
      <c r="E1421" s="927">
        <f>'[15]Input Sheet'!R1046</f>
        <v>0.17255000000000001</v>
      </c>
      <c r="F1421" s="911">
        <v>0</v>
      </c>
      <c r="G1421" s="836">
        <v>1800</v>
      </c>
    </row>
    <row r="1422" spans="1:7" x14ac:dyDescent="0.2">
      <c r="A1422" s="835">
        <v>53594</v>
      </c>
      <c r="B1422" s="1066" t="s">
        <v>1889</v>
      </c>
      <c r="C1422" s="927"/>
      <c r="D1422" s="927">
        <f>'[15]Input Sheet'!Q1047</f>
        <v>0</v>
      </c>
      <c r="E1422" s="927">
        <f>'[15]Input Sheet'!R1047</f>
        <v>1800</v>
      </c>
      <c r="F1422" s="911">
        <v>0</v>
      </c>
      <c r="G1422" s="836">
        <v>1799.9999909999999</v>
      </c>
    </row>
    <row r="1423" spans="1:7" x14ac:dyDescent="0.2">
      <c r="A1423" s="835">
        <v>53602</v>
      </c>
      <c r="B1423" s="808" t="s">
        <v>1890</v>
      </c>
      <c r="D1423" s="927">
        <f>'[15]Input Sheet'!Q1055</f>
        <v>0</v>
      </c>
      <c r="E1423" s="927">
        <f>'[15]Input Sheet'!R1055</f>
        <v>1089.7472451000001</v>
      </c>
    </row>
    <row r="1424" spans="1:7" x14ac:dyDescent="0.2">
      <c r="B1424" s="1071" t="s">
        <v>7</v>
      </c>
      <c r="C1424" s="1016"/>
      <c r="D1424" s="1068">
        <f>SUM(D1287:D1423)</f>
        <v>0</v>
      </c>
      <c r="E1424" s="1068">
        <f>SUM(E1287:E1423)</f>
        <v>13808.666276658005</v>
      </c>
      <c r="F1424" s="1068">
        <f>SUM(F1287:F1423)</f>
        <v>0</v>
      </c>
      <c r="G1424" s="1068">
        <f>SUM(G1287:G1423)</f>
        <v>15804.808480099991</v>
      </c>
    </row>
    <row r="1425" spans="1:16" x14ac:dyDescent="0.2">
      <c r="C1425" s="927"/>
      <c r="D1425" s="927"/>
    </row>
    <row r="1426" spans="1:16" x14ac:dyDescent="0.2">
      <c r="C1426" s="927"/>
      <c r="D1426" s="927"/>
    </row>
    <row r="1427" spans="1:16" x14ac:dyDescent="0.2">
      <c r="B1427" s="1072"/>
      <c r="C1427" s="1073"/>
      <c r="D1427" s="927"/>
    </row>
    <row r="1428" spans="1:16" ht="14.25" x14ac:dyDescent="0.2">
      <c r="B1428" s="1074"/>
      <c r="C1428" s="1075"/>
      <c r="D1428" s="317"/>
      <c r="E1428" s="1076"/>
    </row>
    <row r="1429" spans="1:16" x14ac:dyDescent="0.2">
      <c r="C1429" s="927"/>
      <c r="D1429" s="927"/>
    </row>
    <row r="1430" spans="1:16" x14ac:dyDescent="0.2">
      <c r="C1430" s="927"/>
      <c r="D1430" s="927"/>
    </row>
    <row r="1431" spans="1:16" x14ac:dyDescent="0.2">
      <c r="C1431" s="927"/>
      <c r="D1431" s="927"/>
      <c r="F1431" s="1077"/>
      <c r="G1431" s="1078"/>
      <c r="H1431" s="1078"/>
      <c r="I1431" s="1078"/>
      <c r="J1431" s="1078"/>
      <c r="K1431" s="1078"/>
      <c r="L1431" s="1078"/>
    </row>
    <row r="1432" spans="1:16" x14ac:dyDescent="0.2">
      <c r="C1432" s="927"/>
      <c r="D1432" s="927"/>
      <c r="F1432" s="1077"/>
      <c r="G1432" s="1078"/>
      <c r="H1432" s="1078"/>
      <c r="I1432" s="1078"/>
      <c r="J1432" s="1078"/>
      <c r="K1432" s="1078"/>
      <c r="L1432" s="1078"/>
    </row>
    <row r="1433" spans="1:16" x14ac:dyDescent="0.2">
      <c r="C1433" s="927"/>
      <c r="D1433" s="927"/>
      <c r="F1433" s="1079">
        <v>99101</v>
      </c>
      <c r="G1433" s="1080" t="s">
        <v>7</v>
      </c>
      <c r="H1433" s="1081" t="s">
        <v>1891</v>
      </c>
      <c r="I1433" s="1082" t="s">
        <v>1892</v>
      </c>
      <c r="J1433" s="1083"/>
      <c r="K1433" s="1084" t="s">
        <v>1893</v>
      </c>
      <c r="L1433" s="1085" t="s">
        <v>1892</v>
      </c>
    </row>
    <row r="1434" spans="1:16" x14ac:dyDescent="0.2">
      <c r="C1434" s="927"/>
      <c r="D1434" s="927"/>
      <c r="F1434" s="1086" t="s">
        <v>1894</v>
      </c>
      <c r="G1434" s="1080">
        <f>+G1441-G1440-G1439-G1436</f>
        <v>570.79308118699987</v>
      </c>
      <c r="H1434" s="1080">
        <f>+G1434-K1434</f>
        <v>294.62884841399995</v>
      </c>
      <c r="I1434" s="1087"/>
      <c r="J1434" s="1087"/>
      <c r="K1434" s="1080">
        <f>-L1434</f>
        <v>276.16423277299992</v>
      </c>
      <c r="L1434" s="1088">
        <f>-'[15]Input Sheet'!Q513-'[15]Balance sheet groupings'!I1440-'[15]Balance sheet groupings'!I1447-L1440-I1445</f>
        <v>-276.16423277299992</v>
      </c>
    </row>
    <row r="1435" spans="1:16" ht="25.5" x14ac:dyDescent="0.2">
      <c r="C1435" s="927"/>
      <c r="D1435" s="927"/>
      <c r="F1435" s="902" t="s">
        <v>924</v>
      </c>
      <c r="G1435" s="1089"/>
      <c r="H1435" s="1089"/>
      <c r="I1435" s="1078"/>
      <c r="J1435" s="1078"/>
      <c r="K1435" s="1089"/>
      <c r="L1435" s="1090"/>
    </row>
    <row r="1436" spans="1:16" ht="25.5" x14ac:dyDescent="0.2">
      <c r="C1436" s="927"/>
      <c r="D1436" s="927"/>
      <c r="F1436" s="1091" t="s">
        <v>1895</v>
      </c>
      <c r="G1436" s="1092">
        <v>142</v>
      </c>
      <c r="H1436" s="1089">
        <f>+G1436-K1436</f>
        <v>0</v>
      </c>
      <c r="I1436" s="1078"/>
      <c r="J1436" s="1078"/>
      <c r="K1436" s="1089">
        <f>+G1436</f>
        <v>142</v>
      </c>
      <c r="L1436" s="1093">
        <f>-'[15]Input Sheet'!G660</f>
        <v>-76.211765499999998</v>
      </c>
      <c r="N1436" s="1094">
        <v>46431</v>
      </c>
      <c r="O1436" s="855">
        <f>+'[15]Input Sheet'!R660</f>
        <v>76.211765499999998</v>
      </c>
      <c r="P1436" s="904">
        <f>+L1436+O1436</f>
        <v>0</v>
      </c>
    </row>
    <row r="1437" spans="1:16" ht="38.25" x14ac:dyDescent="0.2">
      <c r="A1437" s="243"/>
      <c r="B1437" s="243"/>
      <c r="C1437" s="927"/>
      <c r="D1437" s="927"/>
      <c r="F1437" s="1091" t="s">
        <v>1896</v>
      </c>
      <c r="G1437" s="1092">
        <f>-657882345/10^7</f>
        <v>-65.788234500000002</v>
      </c>
      <c r="H1437" s="1089"/>
      <c r="I1437" s="1078"/>
      <c r="J1437" s="1078"/>
      <c r="K1437" s="1089">
        <f>+G1437</f>
        <v>-65.788234500000002</v>
      </c>
      <c r="L1437" s="1093"/>
      <c r="N1437" s="1094"/>
      <c r="O1437" s="855"/>
      <c r="P1437" s="904"/>
    </row>
    <row r="1438" spans="1:16" ht="25.5" x14ac:dyDescent="0.2">
      <c r="A1438" s="243"/>
      <c r="B1438" s="243"/>
      <c r="C1438" s="927"/>
      <c r="D1438" s="927"/>
      <c r="F1438" s="1091" t="s">
        <v>1895</v>
      </c>
      <c r="G1438" s="1092">
        <f>+G1436+G1437</f>
        <v>76.211765499999998</v>
      </c>
      <c r="H1438" s="1089"/>
      <c r="I1438" s="1078"/>
      <c r="J1438" s="1078"/>
      <c r="K1438" s="1092">
        <f>+K1436+K1437</f>
        <v>76.211765499999998</v>
      </c>
      <c r="L1438" s="1093">
        <f>+L1436</f>
        <v>-76.211765499999998</v>
      </c>
      <c r="N1438" s="1094"/>
      <c r="O1438" s="855"/>
      <c r="P1438" s="904"/>
    </row>
    <row r="1439" spans="1:16" x14ac:dyDescent="0.2">
      <c r="A1439" s="243"/>
      <c r="B1439" s="243"/>
      <c r="C1439" s="927"/>
      <c r="D1439" s="927"/>
      <c r="F1439" s="1095" t="s">
        <v>578</v>
      </c>
      <c r="G1439" s="1096">
        <v>0</v>
      </c>
      <c r="H1439" s="1089">
        <f>+G1439</f>
        <v>0</v>
      </c>
      <c r="I1439" s="1078"/>
      <c r="J1439" s="1078"/>
      <c r="K1439" s="1089"/>
      <c r="L1439" s="1097"/>
    </row>
    <row r="1440" spans="1:16" x14ac:dyDescent="0.2">
      <c r="A1440" s="243"/>
      <c r="B1440" s="243"/>
      <c r="C1440" s="927"/>
      <c r="D1440" s="927"/>
      <c r="F1440" s="1098" t="s">
        <v>1897</v>
      </c>
      <c r="G1440" s="1099">
        <f>2052879151.84/10^7</f>
        <v>205.28791518399998</v>
      </c>
      <c r="H1440" s="1100">
        <f>+G1440-K1440</f>
        <v>1.6928646179999873</v>
      </c>
      <c r="I1440" s="1101"/>
      <c r="J1440" s="1102"/>
      <c r="K1440" s="1100">
        <f>-L1440</f>
        <v>203.595050566</v>
      </c>
      <c r="L1440" s="1103">
        <f>-(90.02996409+72.8450537+250855051.48/10^7+156345276.28/10^7)</f>
        <v>-203.595050566</v>
      </c>
      <c r="N1440" s="243" t="s">
        <v>1898</v>
      </c>
      <c r="O1440" s="836">
        <f>SUM(I1434:I1440)+SUM(L1434)+I1447</f>
        <v>-459.84528982399991</v>
      </c>
    </row>
    <row r="1441" spans="1:17" x14ac:dyDescent="0.2">
      <c r="A1441" s="243"/>
      <c r="B1441" s="243"/>
      <c r="C1441" s="927"/>
      <c r="D1441" s="927"/>
      <c r="F1441" s="1104"/>
      <c r="G1441" s="1084">
        <f>+'[15]Input Sheet'!G1376</f>
        <v>918.08099637099986</v>
      </c>
      <c r="H1441" s="1084"/>
      <c r="I1441" s="1101"/>
      <c r="J1441" s="1083"/>
      <c r="K1441" s="1084"/>
      <c r="L1441" s="1103" t="s">
        <v>1898</v>
      </c>
      <c r="N1441" s="1105">
        <v>27900</v>
      </c>
      <c r="O1441" s="1106">
        <f>+'[15]Input Sheet'!G513</f>
        <v>668.29253248999999</v>
      </c>
    </row>
    <row r="1442" spans="1:17" x14ac:dyDescent="0.2">
      <c r="A1442" s="243"/>
      <c r="B1442" s="243"/>
      <c r="C1442" s="927"/>
      <c r="D1442" s="927"/>
      <c r="F1442" s="1077"/>
      <c r="G1442" s="1078"/>
      <c r="H1442" s="1078"/>
      <c r="I1442" s="1078"/>
      <c r="J1442" s="1078"/>
      <c r="K1442" s="1078"/>
      <c r="L1442" s="1078"/>
      <c r="O1442" s="348">
        <f>+O1441+O1440</f>
        <v>208.44724266600008</v>
      </c>
    </row>
    <row r="1443" spans="1:17" x14ac:dyDescent="0.2">
      <c r="A1443" s="243"/>
      <c r="B1443" s="243"/>
      <c r="C1443" s="927"/>
      <c r="D1443" s="927"/>
      <c r="F1443" s="1077"/>
      <c r="G1443" s="1078"/>
      <c r="H1443" s="1078"/>
      <c r="I1443" s="1078"/>
      <c r="J1443" s="1078"/>
      <c r="K1443" s="1078"/>
      <c r="L1443" s="1078"/>
    </row>
    <row r="1444" spans="1:17" x14ac:dyDescent="0.2">
      <c r="A1444" s="243"/>
      <c r="B1444" s="243"/>
      <c r="C1444" s="927"/>
      <c r="D1444" s="927"/>
      <c r="F1444" s="1077"/>
      <c r="G1444" s="1078"/>
      <c r="H1444" s="1078"/>
      <c r="I1444" s="1107" t="s">
        <v>1898</v>
      </c>
      <c r="J1444" s="1078"/>
      <c r="K1444" s="1078"/>
      <c r="L1444" s="1078"/>
    </row>
    <row r="1445" spans="1:17" ht="25.5" x14ac:dyDescent="0.2">
      <c r="A1445" s="243"/>
      <c r="B1445" s="243"/>
      <c r="C1445" s="927"/>
      <c r="D1445" s="927"/>
      <c r="F1445" s="1108" t="s">
        <v>924</v>
      </c>
      <c r="G1445" s="1084">
        <v>4.8521920999999999</v>
      </c>
      <c r="H1445" s="1084"/>
      <c r="I1445" s="1107">
        <v>-4.8521920999999999</v>
      </c>
      <c r="J1445" s="1084"/>
      <c r="K1445" s="1084"/>
      <c r="L1445" s="1084"/>
      <c r="Q1445" s="243">
        <v>-97.487141800000003</v>
      </c>
    </row>
    <row r="1446" spans="1:17" x14ac:dyDescent="0.2">
      <c r="A1446" s="243"/>
      <c r="B1446" s="243"/>
      <c r="C1446" s="927"/>
      <c r="D1446" s="927"/>
      <c r="F1446" s="1109">
        <v>99205</v>
      </c>
      <c r="G1446" s="1080"/>
      <c r="H1446" s="1087"/>
      <c r="I1446" s="1107" t="s">
        <v>1898</v>
      </c>
      <c r="J1446" s="1087"/>
      <c r="K1446" s="1080"/>
      <c r="L1446" s="1110" t="s">
        <v>1899</v>
      </c>
      <c r="N1446" s="243" t="s">
        <v>1899</v>
      </c>
      <c r="O1446" s="836">
        <f>+L1447</f>
        <v>-794.38951459999998</v>
      </c>
      <c r="Q1446" s="348">
        <f>Q1445-O1442</f>
        <v>-305.9343844660001</v>
      </c>
    </row>
    <row r="1447" spans="1:17" x14ac:dyDescent="0.2">
      <c r="A1447" s="243"/>
      <c r="B1447" s="243"/>
      <c r="C1447" s="927"/>
      <c r="D1447" s="927">
        <f>-401635350.51/10^7</f>
        <v>-40.163535050999997</v>
      </c>
      <c r="F1447" s="1111" t="s">
        <v>1900</v>
      </c>
      <c r="G1447" s="1100">
        <f>'[15]Input Sheet'!Q1397</f>
        <v>30373.715674189003</v>
      </c>
      <c r="H1447" s="1102">
        <f>+G1447-K1447</f>
        <v>25773.382340855656</v>
      </c>
      <c r="I1447" s="1107">
        <f>-(401635350.51+1269820335+ 165354885)/10^7</f>
        <v>-183.68105705100001</v>
      </c>
      <c r="J1447" s="1102"/>
      <c r="K1447" s="1100">
        <v>4600.3333333333458</v>
      </c>
      <c r="L1447" s="1112">
        <f>-'[15]Input Sheet'!G515</f>
        <v>-794.38951459999998</v>
      </c>
      <c r="N1447" s="1113">
        <v>27902</v>
      </c>
      <c r="O1447" s="1114">
        <f>+'[15]Input Sheet'!G515</f>
        <v>794.38951459999998</v>
      </c>
    </row>
    <row r="1448" spans="1:17" x14ac:dyDescent="0.2">
      <c r="A1448" s="243"/>
      <c r="B1448" s="243"/>
      <c r="C1448" s="927"/>
      <c r="D1448" s="927"/>
      <c r="F1448" s="1077"/>
      <c r="G1448" s="1078"/>
      <c r="H1448" s="1078"/>
      <c r="I1448" s="1078"/>
      <c r="J1448" s="1078"/>
      <c r="K1448" s="1078"/>
      <c r="L1448" s="1078"/>
      <c r="O1448" s="836">
        <f>+O1446+O1447</f>
        <v>0</v>
      </c>
    </row>
    <row r="1449" spans="1:17" x14ac:dyDescent="0.2">
      <c r="A1449" s="243"/>
      <c r="B1449" s="243"/>
      <c r="C1449" s="927"/>
      <c r="D1449" s="927"/>
      <c r="F1449" s="1077"/>
      <c r="G1449" s="1078"/>
      <c r="H1449" s="1078"/>
      <c r="I1449" s="1078"/>
      <c r="J1449" s="1078"/>
      <c r="K1449" s="1078"/>
      <c r="L1449" s="1078"/>
    </row>
    <row r="1450" spans="1:17" x14ac:dyDescent="0.2">
      <c r="A1450" s="243"/>
      <c r="B1450" s="243"/>
      <c r="C1450" s="927"/>
      <c r="D1450" s="927"/>
      <c r="F1450" s="1115" t="s">
        <v>1901</v>
      </c>
      <c r="G1450" s="1078"/>
      <c r="H1450" s="1078"/>
      <c r="I1450" s="1078"/>
      <c r="J1450" s="1078"/>
      <c r="K1450" s="1078"/>
      <c r="L1450" s="1078"/>
    </row>
    <row r="1451" spans="1:17" ht="25.5" x14ac:dyDescent="0.2">
      <c r="A1451" s="243"/>
      <c r="B1451" s="243"/>
      <c r="C1451" s="927"/>
      <c r="D1451" s="927"/>
      <c r="E1451" s="1116"/>
      <c r="F1451" s="1117" t="s">
        <v>895</v>
      </c>
      <c r="G1451" s="1080"/>
      <c r="H1451" s="1087"/>
      <c r="I1451" s="1087"/>
      <c r="J1451" s="1087"/>
      <c r="K1451" s="1080"/>
      <c r="L1451" s="1118"/>
    </row>
    <row r="1452" spans="1:17" ht="51" x14ac:dyDescent="0.2">
      <c r="A1452" s="243"/>
      <c r="B1452" s="243"/>
      <c r="C1452" s="927"/>
      <c r="D1452" s="927"/>
      <c r="E1452" s="1119">
        <v>20001</v>
      </c>
      <c r="F1452" s="1120" t="s">
        <v>896</v>
      </c>
      <c r="G1452" s="1089">
        <f>+'[15]Input Sheet'!G87</f>
        <v>0.05</v>
      </c>
      <c r="H1452" s="1078"/>
      <c r="I1452" s="1078"/>
      <c r="J1452" s="1078"/>
      <c r="K1452" s="1089">
        <f>+G1452</f>
        <v>0.05</v>
      </c>
      <c r="L1452" s="1097"/>
    </row>
    <row r="1453" spans="1:17" ht="25.5" x14ac:dyDescent="0.2">
      <c r="A1453" s="243"/>
      <c r="B1453" s="243"/>
      <c r="C1453" s="927"/>
      <c r="D1453" s="927"/>
      <c r="E1453" s="1119">
        <v>20002</v>
      </c>
      <c r="F1453" s="1121" t="s">
        <v>897</v>
      </c>
      <c r="G1453" s="1089">
        <f>+'[15]Input Sheet'!G88</f>
        <v>0.05</v>
      </c>
      <c r="H1453" s="1078"/>
      <c r="I1453" s="1078"/>
      <c r="J1453" s="1078"/>
      <c r="K1453" s="1089">
        <f t="shared" ref="K1453:K1457" si="1">+G1453</f>
        <v>0.05</v>
      </c>
      <c r="L1453" s="1097">
        <f>-K1453</f>
        <v>-0.05</v>
      </c>
    </row>
    <row r="1454" spans="1:17" x14ac:dyDescent="0.2">
      <c r="A1454" s="243"/>
      <c r="B1454" s="243"/>
      <c r="C1454" s="927"/>
      <c r="D1454" s="927"/>
      <c r="E1454" s="1119">
        <v>20201</v>
      </c>
      <c r="F1454" s="1121" t="s">
        <v>898</v>
      </c>
      <c r="G1454" s="1089">
        <f>+'[15]Input Sheet'!G89</f>
        <v>0.03</v>
      </c>
      <c r="H1454" s="1078"/>
      <c r="I1454" s="1078"/>
      <c r="J1454" s="1078"/>
      <c r="K1454" s="1089">
        <f t="shared" si="1"/>
        <v>0.03</v>
      </c>
      <c r="L1454" s="1097">
        <f t="shared" ref="L1454:L1457" si="2">-K1454</f>
        <v>-0.03</v>
      </c>
    </row>
    <row r="1455" spans="1:17" x14ac:dyDescent="0.2">
      <c r="A1455" s="243"/>
      <c r="B1455" s="243"/>
      <c r="C1455" s="927"/>
      <c r="D1455" s="927"/>
      <c r="E1455" s="1119">
        <v>20202</v>
      </c>
      <c r="F1455" s="1121" t="s">
        <v>899</v>
      </c>
      <c r="G1455" s="1089">
        <f>+'[15]Input Sheet'!G90</f>
        <v>0.03</v>
      </c>
      <c r="H1455" s="1078"/>
      <c r="I1455" s="1078"/>
      <c r="J1455" s="1078"/>
      <c r="K1455" s="1089">
        <f t="shared" si="1"/>
        <v>0.03</v>
      </c>
      <c r="L1455" s="1097">
        <f t="shared" si="2"/>
        <v>-0.03</v>
      </c>
    </row>
    <row r="1456" spans="1:17" x14ac:dyDescent="0.2">
      <c r="A1456" s="243"/>
      <c r="B1456" s="243"/>
      <c r="C1456" s="927"/>
      <c r="D1456" s="927"/>
      <c r="E1456" s="1119">
        <v>20203</v>
      </c>
      <c r="F1456" s="1122" t="s">
        <v>900</v>
      </c>
      <c r="G1456" s="1089">
        <f>+'[15]Input Sheet'!G91</f>
        <v>0</v>
      </c>
      <c r="H1456" s="1078"/>
      <c r="I1456" s="1078"/>
      <c r="J1456" s="1078"/>
      <c r="K1456" s="1089">
        <f t="shared" si="1"/>
        <v>0</v>
      </c>
      <c r="L1456" s="1097">
        <f t="shared" si="2"/>
        <v>0</v>
      </c>
    </row>
    <row r="1457" spans="1:15" x14ac:dyDescent="0.2">
      <c r="A1457" s="243"/>
      <c r="B1457" s="243"/>
      <c r="C1457" s="927"/>
      <c r="D1457" s="927"/>
      <c r="E1457" s="1119">
        <v>20501</v>
      </c>
      <c r="F1457" s="1122" t="s">
        <v>902</v>
      </c>
      <c r="G1457" s="1089">
        <f>+'[15]Input Sheet'!G93</f>
        <v>0</v>
      </c>
      <c r="H1457" s="1078"/>
      <c r="I1457" s="1078"/>
      <c r="J1457" s="1078"/>
      <c r="K1457" s="1089">
        <f t="shared" si="1"/>
        <v>0</v>
      </c>
      <c r="L1457" s="1097">
        <f t="shared" si="2"/>
        <v>0</v>
      </c>
    </row>
    <row r="1458" spans="1:15" ht="15.75" x14ac:dyDescent="0.25">
      <c r="A1458" s="243"/>
      <c r="B1458" s="243"/>
      <c r="C1458" s="927"/>
      <c r="D1458" s="927">
        <f>+G1458-G1452</f>
        <v>0.11</v>
      </c>
      <c r="E1458" s="1116"/>
      <c r="F1458" s="1123" t="s">
        <v>903</v>
      </c>
      <c r="G1458" s="1124">
        <f>SUM(G1452:G1457)</f>
        <v>0.16</v>
      </c>
      <c r="H1458" s="1125"/>
      <c r="I1458" s="1125"/>
      <c r="J1458" s="1125"/>
      <c r="K1458" s="1124">
        <f>SUM(K1452:K1457)</f>
        <v>0.16</v>
      </c>
      <c r="L1458" s="1126">
        <f>SUM(L1452:L1457)</f>
        <v>-0.11</v>
      </c>
    </row>
    <row r="1459" spans="1:15" x14ac:dyDescent="0.2">
      <c r="A1459" s="243"/>
      <c r="B1459" s="243"/>
      <c r="E1459" s="1116"/>
      <c r="F1459" s="1095"/>
      <c r="G1459" s="1089"/>
      <c r="H1459" s="1078"/>
      <c r="I1459" s="1078"/>
      <c r="J1459" s="1078"/>
      <c r="K1459" s="1089"/>
      <c r="L1459" s="1097"/>
    </row>
    <row r="1460" spans="1:15" x14ac:dyDescent="0.2">
      <c r="A1460" s="243"/>
      <c r="B1460" s="243"/>
      <c r="E1460" s="1116"/>
      <c r="F1460" s="1095" t="s">
        <v>904</v>
      </c>
      <c r="G1460" s="1089"/>
      <c r="H1460" s="1078"/>
      <c r="I1460" s="1078"/>
      <c r="J1460" s="1078"/>
      <c r="K1460" s="1089"/>
      <c r="L1460" s="1097"/>
    </row>
    <row r="1461" spans="1:15" ht="38.25" x14ac:dyDescent="0.2">
      <c r="A1461" s="243"/>
      <c r="B1461" s="243"/>
      <c r="E1461" s="1119">
        <v>26001</v>
      </c>
      <c r="F1461" s="1127" t="s">
        <v>905</v>
      </c>
      <c r="G1461" s="1089">
        <f>+'[15]Input Sheet'!G481</f>
        <v>2.0998617039999998</v>
      </c>
      <c r="H1461" s="1078"/>
      <c r="I1461" s="1078"/>
      <c r="J1461" s="1078"/>
      <c r="K1461" s="1089">
        <f>+G1461</f>
        <v>2.0998617039999998</v>
      </c>
      <c r="L1461" s="1097"/>
    </row>
    <row r="1462" spans="1:15" ht="25.5" x14ac:dyDescent="0.2">
      <c r="A1462" s="243"/>
      <c r="B1462" s="243"/>
      <c r="E1462" s="1119">
        <v>26002</v>
      </c>
      <c r="F1462" s="1127" t="s">
        <v>554</v>
      </c>
      <c r="G1462" s="1089">
        <f>+'[15]Input Sheet'!G482</f>
        <v>6.200139429</v>
      </c>
      <c r="H1462" s="1078"/>
      <c r="I1462" s="1078"/>
      <c r="J1462" s="1078"/>
      <c r="K1462" s="1089">
        <f>+G1462</f>
        <v>6.200139429</v>
      </c>
      <c r="L1462" s="1097">
        <f>-K1462</f>
        <v>-6.200139429</v>
      </c>
    </row>
    <row r="1463" spans="1:15" x14ac:dyDescent="0.2">
      <c r="A1463" s="243"/>
      <c r="B1463" s="243"/>
      <c r="E1463" s="1119">
        <v>26003</v>
      </c>
      <c r="F1463" s="1127" t="s">
        <v>906</v>
      </c>
      <c r="G1463" s="1089">
        <f>+'[15]Input Sheet'!G483</f>
        <v>0</v>
      </c>
      <c r="H1463" s="1078"/>
      <c r="I1463" s="1078"/>
      <c r="J1463" s="1078"/>
      <c r="K1463" s="1089">
        <f t="shared" ref="K1463:K1468" si="3">+G1463</f>
        <v>0</v>
      </c>
      <c r="L1463" s="1097">
        <f t="shared" ref="L1463:L1468" si="4">-K1463</f>
        <v>0</v>
      </c>
    </row>
    <row r="1464" spans="1:15" ht="25.5" x14ac:dyDescent="0.2">
      <c r="A1464" s="243"/>
      <c r="B1464" s="243"/>
      <c r="E1464" s="1119">
        <v>26004</v>
      </c>
      <c r="F1464" s="1127" t="s">
        <v>924</v>
      </c>
      <c r="G1464" s="1089">
        <f>+'[15]Input Sheet'!G484</f>
        <v>4.8521920999999999</v>
      </c>
      <c r="H1464" s="1078"/>
      <c r="I1464" s="1078"/>
      <c r="J1464" s="1078"/>
      <c r="K1464" s="1089">
        <f t="shared" si="3"/>
        <v>4.8521920999999999</v>
      </c>
      <c r="L1464" s="1097">
        <f t="shared" si="4"/>
        <v>-4.8521920999999999</v>
      </c>
    </row>
    <row r="1465" spans="1:15" ht="15" x14ac:dyDescent="0.25">
      <c r="A1465" s="243"/>
      <c r="B1465" s="243"/>
      <c r="E1465" s="1128">
        <v>26005</v>
      </c>
      <c r="F1465" s="1129" t="s">
        <v>907</v>
      </c>
      <c r="G1465" s="1089">
        <f>+'[15]Input Sheet'!G485</f>
        <v>0</v>
      </c>
      <c r="H1465" s="1078"/>
      <c r="I1465" s="1078"/>
      <c r="J1465" s="1078"/>
      <c r="K1465" s="1089">
        <f t="shared" si="3"/>
        <v>0</v>
      </c>
      <c r="L1465" s="1097">
        <f t="shared" si="4"/>
        <v>0</v>
      </c>
    </row>
    <row r="1466" spans="1:15" x14ac:dyDescent="0.2">
      <c r="A1466" s="243"/>
      <c r="B1466" s="243"/>
      <c r="E1466" s="1119">
        <v>26201</v>
      </c>
      <c r="F1466" s="1127" t="s">
        <v>555</v>
      </c>
      <c r="G1466" s="1089">
        <f>+'[15]Input Sheet'!G486</f>
        <v>0.55589999999999995</v>
      </c>
      <c r="H1466" s="1078"/>
      <c r="I1466" s="1078"/>
      <c r="J1466" s="1078"/>
      <c r="K1466" s="1089">
        <f t="shared" si="3"/>
        <v>0.55589999999999995</v>
      </c>
      <c r="L1466" s="1097">
        <f t="shared" si="4"/>
        <v>-0.55589999999999995</v>
      </c>
    </row>
    <row r="1467" spans="1:15" x14ac:dyDescent="0.2">
      <c r="A1467" s="243"/>
      <c r="B1467" s="243"/>
      <c r="E1467" s="1119">
        <v>26202</v>
      </c>
      <c r="F1467" s="1127" t="s">
        <v>556</v>
      </c>
      <c r="G1467" s="1089">
        <f>+'[15]Input Sheet'!G487</f>
        <v>41.253665754000004</v>
      </c>
      <c r="H1467" s="1078"/>
      <c r="I1467" s="1078"/>
      <c r="J1467" s="1078"/>
      <c r="K1467" s="1089">
        <f t="shared" si="3"/>
        <v>41.253665754000004</v>
      </c>
      <c r="L1467" s="1097">
        <f t="shared" si="4"/>
        <v>-41.253665754000004</v>
      </c>
    </row>
    <row r="1468" spans="1:15" ht="15" x14ac:dyDescent="0.25">
      <c r="A1468" s="243"/>
      <c r="B1468" s="243"/>
      <c r="E1468" s="1128">
        <v>26203</v>
      </c>
      <c r="F1468" s="1129" t="s">
        <v>908</v>
      </c>
      <c r="G1468" s="1089">
        <f>+'[15]Input Sheet'!G488</f>
        <v>0</v>
      </c>
      <c r="H1468" s="1078"/>
      <c r="I1468" s="1078"/>
      <c r="J1468" s="1078"/>
      <c r="K1468" s="1089">
        <f t="shared" si="3"/>
        <v>0</v>
      </c>
      <c r="L1468" s="1097">
        <f t="shared" si="4"/>
        <v>0</v>
      </c>
      <c r="N1468" s="243" t="s">
        <v>1899</v>
      </c>
      <c r="O1468" s="836">
        <f>+L1458+L1469</f>
        <v>-52.971897283000004</v>
      </c>
    </row>
    <row r="1469" spans="1:15" ht="15.75" x14ac:dyDescent="0.25">
      <c r="A1469" s="243"/>
      <c r="B1469" s="243"/>
      <c r="C1469" s="243"/>
      <c r="D1469" s="1059">
        <f>+G1469-G1461</f>
        <v>52.861897283000005</v>
      </c>
      <c r="E1469" s="1116"/>
      <c r="F1469" s="1130" t="s">
        <v>909</v>
      </c>
      <c r="G1469" s="1131">
        <f>SUM(G1461:G1468)</f>
        <v>54.961758987000003</v>
      </c>
      <c r="H1469" s="1132"/>
      <c r="I1469" s="1132"/>
      <c r="J1469" s="1132"/>
      <c r="K1469" s="1131">
        <f>SUM(K1461:K1468)</f>
        <v>54.961758987000003</v>
      </c>
      <c r="L1469" s="1133">
        <f>SUM(L1461:L1468)</f>
        <v>-52.861897283000005</v>
      </c>
      <c r="N1469" s="1134">
        <v>27901</v>
      </c>
      <c r="O1469" s="1135">
        <f>+'[15]Input Sheet'!G514</f>
        <v>48.119705183000001</v>
      </c>
    </row>
    <row r="1470" spans="1:15" x14ac:dyDescent="0.2">
      <c r="A1470" s="243"/>
      <c r="B1470" s="243"/>
      <c r="C1470" s="243"/>
      <c r="E1470" s="1116"/>
      <c r="F1470" s="1077"/>
      <c r="G1470" s="1078"/>
      <c r="H1470" s="1078"/>
      <c r="I1470" s="1078"/>
      <c r="J1470" s="1078"/>
      <c r="K1470" s="1078"/>
      <c r="L1470" s="1078"/>
      <c r="O1470" s="836">
        <f>+O1468+O1469</f>
        <v>-4.8521921000000034</v>
      </c>
    </row>
    <row r="1471" spans="1:15" ht="25.5" x14ac:dyDescent="0.2">
      <c r="A1471" s="243"/>
      <c r="B1471" s="243"/>
      <c r="C1471" s="243"/>
      <c r="D1471" s="1059">
        <f>+D1458+D1469</f>
        <v>52.971897283000004</v>
      </c>
      <c r="E1471" s="1116"/>
      <c r="F1471" s="1136" t="s">
        <v>1902</v>
      </c>
    </row>
    <row r="1472" spans="1:15" ht="25.5" x14ac:dyDescent="0.2">
      <c r="A1472" s="243"/>
      <c r="B1472" s="243"/>
      <c r="C1472" s="243"/>
      <c r="D1472" s="1059">
        <v>46.229981000000002</v>
      </c>
      <c r="E1472" s="1116">
        <v>27901</v>
      </c>
      <c r="F1472" s="1136" t="s">
        <v>554</v>
      </c>
      <c r="G1472" s="836">
        <f>+'[15]Input Sheet'!G514</f>
        <v>48.119705183000001</v>
      </c>
    </row>
    <row r="1473" spans="1:15" ht="25.5" x14ac:dyDescent="0.2">
      <c r="A1473" s="243"/>
      <c r="B1473" s="243"/>
      <c r="C1473" s="243"/>
      <c r="D1473" s="1059">
        <f>+D1471-D1472</f>
        <v>6.7419162830000019</v>
      </c>
      <c r="E1473" s="1116">
        <v>27901</v>
      </c>
      <c r="F1473" s="1136" t="s">
        <v>924</v>
      </c>
      <c r="G1473" s="836">
        <f>48521921/10^7</f>
        <v>4.8521920999999999</v>
      </c>
    </row>
    <row r="1474" spans="1:15" x14ac:dyDescent="0.2">
      <c r="A1474" s="243"/>
      <c r="B1474" s="243"/>
      <c r="C1474" s="243"/>
      <c r="E1474" s="1116">
        <v>27901</v>
      </c>
      <c r="F1474" s="1136" t="s">
        <v>555</v>
      </c>
    </row>
    <row r="1475" spans="1:15" x14ac:dyDescent="0.2">
      <c r="A1475" s="243"/>
      <c r="B1475" s="243"/>
      <c r="C1475" s="243"/>
      <c r="E1475" s="1116">
        <v>27901</v>
      </c>
      <c r="F1475" s="1136" t="s">
        <v>556</v>
      </c>
    </row>
    <row r="1476" spans="1:15" ht="38.25" x14ac:dyDescent="0.2">
      <c r="A1476" s="243"/>
      <c r="B1476" s="243"/>
      <c r="C1476" s="243"/>
      <c r="E1476" s="1116">
        <v>27901</v>
      </c>
      <c r="F1476" s="1136" t="s">
        <v>905</v>
      </c>
    </row>
    <row r="1477" spans="1:15" ht="15.75" x14ac:dyDescent="0.25">
      <c r="A1477" s="243"/>
      <c r="B1477" s="243"/>
      <c r="C1477" s="243"/>
      <c r="E1477" s="1116"/>
      <c r="F1477" s="1137" t="s">
        <v>559</v>
      </c>
    </row>
    <row r="1478" spans="1:15" x14ac:dyDescent="0.2">
      <c r="A1478" s="243"/>
      <c r="B1478" s="243"/>
      <c r="C1478" s="243"/>
      <c r="E1478" s="1116"/>
    </row>
    <row r="1479" spans="1:15" ht="25.5" x14ac:dyDescent="0.2">
      <c r="A1479" s="243"/>
      <c r="B1479" s="243"/>
      <c r="C1479" s="243"/>
      <c r="E1479" s="1116"/>
      <c r="F1479" s="1136" t="s">
        <v>911</v>
      </c>
    </row>
    <row r="1480" spans="1:15" ht="25.5" x14ac:dyDescent="0.2">
      <c r="A1480" s="243"/>
      <c r="B1480" s="243"/>
      <c r="C1480" s="243"/>
      <c r="E1480" s="1116">
        <v>27900</v>
      </c>
      <c r="F1480" s="1136" t="s">
        <v>554</v>
      </c>
    </row>
    <row r="1481" spans="1:15" x14ac:dyDescent="0.2">
      <c r="A1481" s="243"/>
      <c r="B1481" s="243"/>
      <c r="C1481" s="243"/>
      <c r="E1481" s="1116">
        <v>27900</v>
      </c>
      <c r="F1481" s="1136" t="s">
        <v>555</v>
      </c>
    </row>
    <row r="1482" spans="1:15" x14ac:dyDescent="0.2">
      <c r="A1482" s="243"/>
      <c r="B1482" s="243"/>
      <c r="C1482" s="243"/>
      <c r="E1482" s="1116">
        <v>27900</v>
      </c>
      <c r="F1482" s="1136" t="s">
        <v>556</v>
      </c>
    </row>
    <row r="1483" spans="1:15" ht="15.75" x14ac:dyDescent="0.25">
      <c r="A1483" s="243"/>
      <c r="B1483" s="243"/>
      <c r="C1483" s="243"/>
      <c r="E1483" s="1116"/>
      <c r="F1483" s="1137" t="s">
        <v>912</v>
      </c>
    </row>
    <row r="1484" spans="1:15" ht="15.75" x14ac:dyDescent="0.25">
      <c r="A1484" s="243"/>
      <c r="B1484" s="243"/>
      <c r="C1484" s="243"/>
      <c r="E1484" s="1138"/>
      <c r="F1484" s="1137" t="s">
        <v>1903</v>
      </c>
      <c r="O1484" s="681">
        <v>1853000</v>
      </c>
    </row>
    <row r="1485" spans="1:15" x14ac:dyDescent="0.2">
      <c r="O1485" s="681"/>
    </row>
    <row r="1486" spans="1:15" x14ac:dyDescent="0.2">
      <c r="O1486" s="1139">
        <v>300000</v>
      </c>
    </row>
    <row r="1496" spans="1:16" ht="15.75" x14ac:dyDescent="0.25">
      <c r="F1496" s="1957" t="str">
        <f>C3</f>
        <v>31.03.2024</v>
      </c>
      <c r="G1496" s="1957"/>
      <c r="H1496" s="1957"/>
      <c r="I1496" s="1957"/>
      <c r="J1496" s="1957"/>
      <c r="L1496" s="1957" t="str">
        <f>E3</f>
        <v>31.03.2023 (RESTATED)</v>
      </c>
      <c r="M1496" s="1957"/>
      <c r="N1496" s="1957"/>
      <c r="O1496" s="1957"/>
      <c r="P1496" s="1957"/>
    </row>
    <row r="1497" spans="1:16" ht="25.5" x14ac:dyDescent="0.2">
      <c r="A1497" s="1140" t="s">
        <v>1904</v>
      </c>
      <c r="B1497" s="1958" t="s">
        <v>1905</v>
      </c>
      <c r="C1497" s="1959"/>
      <c r="D1497" s="1141" t="s">
        <v>1906</v>
      </c>
      <c r="E1497" s="1142" t="s">
        <v>1907</v>
      </c>
      <c r="F1497" s="1142" t="s">
        <v>1908</v>
      </c>
      <c r="G1497" s="1143" t="s">
        <v>1641</v>
      </c>
      <c r="H1497" s="1143" t="s">
        <v>1892</v>
      </c>
      <c r="I1497" s="1143" t="s">
        <v>1642</v>
      </c>
      <c r="J1497" s="1144" t="s">
        <v>1892</v>
      </c>
      <c r="K1497" s="1145"/>
      <c r="L1497" s="1141" t="s">
        <v>1908</v>
      </c>
      <c r="M1497" s="1143" t="s">
        <v>1641</v>
      </c>
      <c r="N1497" s="1143" t="s">
        <v>1892</v>
      </c>
      <c r="O1497" s="1143" t="s">
        <v>1642</v>
      </c>
      <c r="P1497" s="1144" t="s">
        <v>1892</v>
      </c>
    </row>
    <row r="1498" spans="1:16" ht="25.5" x14ac:dyDescent="0.2">
      <c r="A1498" s="1146">
        <v>43024</v>
      </c>
      <c r="B1498" s="1950" t="s">
        <v>1909</v>
      </c>
      <c r="C1498" s="1951"/>
      <c r="D1498" s="1147">
        <v>99107</v>
      </c>
      <c r="E1498" s="1148" t="s">
        <v>1199</v>
      </c>
      <c r="F1498" s="1149"/>
      <c r="G1498" s="1150">
        <f t="shared" ref="G1498:G1503" si="5">+F1498-I1498</f>
        <v>0</v>
      </c>
      <c r="H1498" s="1151"/>
      <c r="I1498" s="1152"/>
      <c r="J1498" s="1153"/>
      <c r="K1498" s="1145"/>
      <c r="L1498" s="1149"/>
      <c r="M1498" s="1154">
        <f>+L1498-O1498</f>
        <v>0</v>
      </c>
      <c r="N1498" s="1155"/>
      <c r="O1498" s="1156"/>
      <c r="P1498" s="1157"/>
    </row>
    <row r="1499" spans="1:16" ht="25.5" x14ac:dyDescent="0.2">
      <c r="A1499" s="1146">
        <v>43024</v>
      </c>
      <c r="B1499" s="1950" t="s">
        <v>1909</v>
      </c>
      <c r="C1499" s="1951"/>
      <c r="D1499" s="1147">
        <v>99108</v>
      </c>
      <c r="E1499" s="1148" t="s">
        <v>1910</v>
      </c>
      <c r="F1499" s="1158">
        <v>24218170</v>
      </c>
      <c r="G1499" s="1150">
        <f t="shared" si="5"/>
        <v>24218170</v>
      </c>
      <c r="H1499" s="1151"/>
      <c r="I1499" s="1152"/>
      <c r="J1499" s="1153"/>
      <c r="K1499" s="1145" t="s">
        <v>1911</v>
      </c>
      <c r="L1499" s="1149">
        <v>20079528</v>
      </c>
      <c r="M1499" s="1154">
        <f>+L1499-O1499</f>
        <v>20079528</v>
      </c>
      <c r="N1499" s="1155"/>
      <c r="O1499" s="1156"/>
      <c r="P1499" s="1157"/>
    </row>
    <row r="1500" spans="1:16" x14ac:dyDescent="0.2">
      <c r="A1500" s="1146">
        <v>43024</v>
      </c>
      <c r="B1500" s="1950" t="s">
        <v>1909</v>
      </c>
      <c r="C1500" s="1951"/>
      <c r="D1500" s="1159">
        <v>99113</v>
      </c>
      <c r="E1500" s="1148" t="s">
        <v>1200</v>
      </c>
      <c r="F1500" s="1158">
        <v>7177</v>
      </c>
      <c r="G1500" s="1150">
        <f t="shared" si="5"/>
        <v>7177</v>
      </c>
      <c r="H1500" s="1151"/>
      <c r="I1500" s="1152"/>
      <c r="J1500" s="1153"/>
      <c r="K1500" s="1145" t="s">
        <v>1911</v>
      </c>
      <c r="L1500" s="1149">
        <v>60899</v>
      </c>
      <c r="M1500" s="1154">
        <f>+L1500-O1500</f>
        <v>60899</v>
      </c>
      <c r="N1500" s="1155"/>
      <c r="O1500" s="1156"/>
      <c r="P1500" s="1157"/>
    </row>
    <row r="1501" spans="1:16" x14ac:dyDescent="0.2">
      <c r="A1501" s="1146">
        <v>43024</v>
      </c>
      <c r="B1501" s="1950" t="s">
        <v>1909</v>
      </c>
      <c r="C1501" s="1951"/>
      <c r="D1501" s="1159">
        <v>99118</v>
      </c>
      <c r="E1501" s="1148" t="s">
        <v>1089</v>
      </c>
      <c r="F1501" s="1158">
        <v>0</v>
      </c>
      <c r="G1501" s="1150">
        <f t="shared" si="5"/>
        <v>0</v>
      </c>
      <c r="H1501" s="1151"/>
      <c r="I1501" s="1152"/>
      <c r="J1501" s="1153"/>
      <c r="K1501" s="1160" t="s">
        <v>1911</v>
      </c>
      <c r="L1501" s="1149">
        <v>-1495087</v>
      </c>
      <c r="M1501" s="1154">
        <f>+L1501-O1501</f>
        <v>-1495087</v>
      </c>
      <c r="N1501" s="1155"/>
      <c r="O1501" s="1156"/>
      <c r="P1501" s="1157"/>
    </row>
    <row r="1502" spans="1:16" ht="25.5" x14ac:dyDescent="0.2">
      <c r="A1502" s="1146">
        <v>43024</v>
      </c>
      <c r="B1502" s="1950" t="s">
        <v>1909</v>
      </c>
      <c r="C1502" s="1951"/>
      <c r="D1502" s="1147">
        <v>99231</v>
      </c>
      <c r="E1502" s="1148" t="s">
        <v>1157</v>
      </c>
      <c r="F1502" s="1158">
        <v>-5497010587.9099998</v>
      </c>
      <c r="G1502" s="1150">
        <f t="shared" si="5"/>
        <v>-5497010587.9099998</v>
      </c>
      <c r="H1502" s="1151"/>
      <c r="I1502" s="1152"/>
      <c r="J1502" s="1153"/>
      <c r="K1502" s="1145"/>
      <c r="L1502" s="1149">
        <v>-5502443293.5799999</v>
      </c>
      <c r="M1502" s="1154">
        <f>+L1502-O1502</f>
        <v>-5502443293.5799999</v>
      </c>
      <c r="N1502" s="1155"/>
      <c r="O1502" s="1156"/>
      <c r="P1502" s="1157"/>
    </row>
    <row r="1503" spans="1:16" x14ac:dyDescent="0.2">
      <c r="A1503" s="1146">
        <v>43024</v>
      </c>
      <c r="B1503" s="1950" t="s">
        <v>1909</v>
      </c>
      <c r="C1503" s="1951"/>
      <c r="D1503" s="1147">
        <v>99101</v>
      </c>
      <c r="E1503" s="1148" t="s">
        <v>1912</v>
      </c>
      <c r="F1503" s="1154">
        <v>3638583</v>
      </c>
      <c r="G1503" s="1150">
        <f t="shared" si="5"/>
        <v>3638583</v>
      </c>
      <c r="H1503" s="1151"/>
      <c r="I1503" s="1151"/>
      <c r="J1503" s="1153"/>
      <c r="K1503" s="1145"/>
      <c r="L1503" s="1150">
        <v>3638583</v>
      </c>
      <c r="M1503" s="1161"/>
      <c r="N1503" s="1155"/>
      <c r="O1503" s="1155"/>
      <c r="P1503" s="1157"/>
    </row>
    <row r="1504" spans="1:16" x14ac:dyDescent="0.2">
      <c r="A1504" s="1146">
        <v>43119</v>
      </c>
      <c r="B1504" s="1950" t="s">
        <v>1909</v>
      </c>
      <c r="C1504" s="1951"/>
      <c r="D1504" s="1159">
        <v>99101</v>
      </c>
      <c r="E1504" s="1148" t="s">
        <v>1912</v>
      </c>
      <c r="F1504" s="1158">
        <v>20738</v>
      </c>
      <c r="G1504" s="1162">
        <f>(+F1504-I1504)*0</f>
        <v>0</v>
      </c>
      <c r="H1504" s="1151"/>
      <c r="I1504" s="1152"/>
      <c r="J1504" s="1153"/>
      <c r="K1504" s="1145" t="s">
        <v>1911</v>
      </c>
      <c r="L1504" s="1149">
        <v>6180000</v>
      </c>
      <c r="M1504" s="1163">
        <f>(+L1504-O1504)*0</f>
        <v>0</v>
      </c>
      <c r="N1504" s="1155"/>
      <c r="O1504" s="1156"/>
      <c r="P1504" s="1157"/>
    </row>
    <row r="1505" spans="1:16" ht="25.5" x14ac:dyDescent="0.2">
      <c r="A1505" s="1146">
        <v>43119</v>
      </c>
      <c r="B1505" s="1950" t="s">
        <v>1909</v>
      </c>
      <c r="C1505" s="1951"/>
      <c r="D1505" s="1159">
        <v>99108</v>
      </c>
      <c r="E1505" s="1148" t="s">
        <v>1910</v>
      </c>
      <c r="F1505" s="1158">
        <v>7330132</v>
      </c>
      <c r="G1505" s="1150">
        <f>+F1505-I1505</f>
        <v>7330132</v>
      </c>
      <c r="H1505" s="1151"/>
      <c r="I1505" s="1152"/>
      <c r="J1505" s="1153"/>
      <c r="K1505" s="1145" t="s">
        <v>1911</v>
      </c>
      <c r="L1505" s="1149">
        <v>6622132</v>
      </c>
      <c r="M1505" s="1154">
        <f>+L1505-O1505</f>
        <v>6622132</v>
      </c>
      <c r="N1505" s="1155"/>
      <c r="O1505" s="1156"/>
      <c r="P1505" s="1157"/>
    </row>
    <row r="1506" spans="1:16" ht="38.25" x14ac:dyDescent="0.2">
      <c r="A1506" s="1146">
        <v>43119</v>
      </c>
      <c r="B1506" s="1950" t="s">
        <v>1909</v>
      </c>
      <c r="C1506" s="1951"/>
      <c r="D1506" s="1159">
        <v>99109</v>
      </c>
      <c r="E1506" s="1164" t="s">
        <v>931</v>
      </c>
      <c r="F1506" s="1158"/>
      <c r="G1506" s="1162">
        <f>(+F1506-I1506)*0</f>
        <v>0</v>
      </c>
      <c r="H1506" s="1151"/>
      <c r="I1506" s="1152"/>
      <c r="J1506" s="1153"/>
      <c r="K1506" s="1145" t="s">
        <v>1911</v>
      </c>
      <c r="L1506" s="1149"/>
      <c r="M1506" s="1163">
        <f>(+L1506-O1506)*0</f>
        <v>0</v>
      </c>
      <c r="N1506" s="1155"/>
      <c r="O1506" s="1156"/>
      <c r="P1506" s="1157"/>
    </row>
    <row r="1507" spans="1:16" x14ac:dyDescent="0.2">
      <c r="A1507" s="1146">
        <v>43119</v>
      </c>
      <c r="B1507" s="1950" t="s">
        <v>1909</v>
      </c>
      <c r="C1507" s="1951"/>
      <c r="D1507" s="1159">
        <v>99113</v>
      </c>
      <c r="E1507" s="1148" t="s">
        <v>1200</v>
      </c>
      <c r="F1507" s="1158"/>
      <c r="G1507" s="1150">
        <f>+F1507-I1507</f>
        <v>0</v>
      </c>
      <c r="H1507" s="1151"/>
      <c r="I1507" s="1152"/>
      <c r="J1507" s="1153"/>
      <c r="K1507" s="1145" t="s">
        <v>1911</v>
      </c>
      <c r="L1507" s="1149"/>
      <c r="M1507" s="1154">
        <f>+L1507-O1507</f>
        <v>0</v>
      </c>
      <c r="N1507" s="1155"/>
      <c r="O1507" s="1156"/>
      <c r="P1507" s="1157"/>
    </row>
    <row r="1508" spans="1:16" ht="25.5" x14ac:dyDescent="0.2">
      <c r="A1508" s="1146">
        <v>43119</v>
      </c>
      <c r="B1508" s="1950" t="s">
        <v>1909</v>
      </c>
      <c r="C1508" s="1951"/>
      <c r="D1508" s="1159">
        <v>99231</v>
      </c>
      <c r="E1508" s="1148" t="s">
        <v>1157</v>
      </c>
      <c r="F1508" s="1158">
        <v>1822382.5</v>
      </c>
      <c r="G1508" s="1150">
        <f>+F1508-I1508</f>
        <v>1822382.5</v>
      </c>
      <c r="H1508" s="1151"/>
      <c r="I1508" s="1152"/>
      <c r="J1508" s="1153"/>
      <c r="K1508" s="1145"/>
      <c r="L1508" s="1149">
        <v>1525128</v>
      </c>
      <c r="M1508" s="1154">
        <f>+L1508-O1508</f>
        <v>1525128</v>
      </c>
      <c r="N1508" s="1155"/>
      <c r="O1508" s="1156"/>
      <c r="P1508" s="1157"/>
    </row>
    <row r="1509" spans="1:16" x14ac:dyDescent="0.2">
      <c r="A1509" s="1146"/>
      <c r="B1509" s="1950"/>
      <c r="C1509" s="1951"/>
      <c r="D1509" s="1165"/>
      <c r="E1509" s="917"/>
      <c r="F1509" s="1154"/>
      <c r="G1509" s="1150"/>
      <c r="H1509" s="1151"/>
      <c r="I1509" s="1152"/>
      <c r="J1509" s="1153"/>
      <c r="K1509" s="1145"/>
      <c r="L1509" s="1150"/>
      <c r="M1509" s="1154"/>
      <c r="N1509" s="1155"/>
      <c r="O1509" s="1156"/>
      <c r="P1509" s="1157"/>
    </row>
    <row r="1510" spans="1:16" ht="15" x14ac:dyDescent="0.2">
      <c r="A1510" s="1146"/>
      <c r="B1510" s="1960" t="s">
        <v>1913</v>
      </c>
      <c r="C1510" s="1961"/>
      <c r="D1510" s="1166"/>
      <c r="E1510" s="1167"/>
      <c r="F1510" s="1168">
        <f>SUM(F1498:F1509)</f>
        <v>-5459973405.4099998</v>
      </c>
      <c r="G1510" s="1150">
        <f t="shared" ref="G1510:G1526" si="6">+F1510-I1510</f>
        <v>-5459973405.4099998</v>
      </c>
      <c r="H1510" s="1151"/>
      <c r="I1510" s="1152"/>
      <c r="J1510" s="1153"/>
      <c r="K1510" s="1145"/>
      <c r="L1510" s="1169">
        <f>SUM(L1498:L1509)</f>
        <v>-5465832110.5799999</v>
      </c>
      <c r="M1510" s="1154">
        <f t="shared" ref="M1510:M1512" si="7">+L1510-O1510</f>
        <v>-5465832110.5799999</v>
      </c>
      <c r="N1510" s="1155"/>
      <c r="O1510" s="1156"/>
      <c r="P1510" s="1157"/>
    </row>
    <row r="1511" spans="1:16" x14ac:dyDescent="0.2">
      <c r="A1511" s="1146"/>
      <c r="B1511" s="1950"/>
      <c r="C1511" s="1951"/>
      <c r="D1511" s="1165"/>
      <c r="E1511" s="1148"/>
      <c r="F1511" s="1154"/>
      <c r="G1511" s="1150">
        <f t="shared" si="6"/>
        <v>0</v>
      </c>
      <c r="H1511" s="1151"/>
      <c r="I1511" s="1152"/>
      <c r="J1511" s="1153"/>
      <c r="K1511" s="1145"/>
      <c r="L1511" s="1150"/>
      <c r="M1511" s="1154">
        <f t="shared" si="7"/>
        <v>0</v>
      </c>
      <c r="N1511" s="1155"/>
      <c r="O1511" s="1156"/>
      <c r="P1511" s="1157"/>
    </row>
    <row r="1512" spans="1:16" x14ac:dyDescent="0.2">
      <c r="A1512" s="1146">
        <v>43025</v>
      </c>
      <c r="B1512" s="1950" t="s">
        <v>1914</v>
      </c>
      <c r="C1512" s="1951"/>
      <c r="D1512" s="1159">
        <v>99113</v>
      </c>
      <c r="E1512" s="1148" t="s">
        <v>1200</v>
      </c>
      <c r="F1512" s="1158">
        <v>-5000000</v>
      </c>
      <c r="G1512" s="1150">
        <f t="shared" si="6"/>
        <v>-5000000</v>
      </c>
      <c r="H1512" s="1151"/>
      <c r="I1512" s="1152"/>
      <c r="J1512" s="1153"/>
      <c r="K1512" s="1145"/>
      <c r="L1512" s="1149">
        <v>-5000000</v>
      </c>
      <c r="M1512" s="1154">
        <f t="shared" si="7"/>
        <v>-5000000</v>
      </c>
      <c r="N1512" s="1155"/>
      <c r="O1512" s="1156"/>
      <c r="P1512" s="1157"/>
    </row>
    <row r="1513" spans="1:16" ht="25.5" x14ac:dyDescent="0.2">
      <c r="A1513" s="1146">
        <v>43025</v>
      </c>
      <c r="B1513" s="1950" t="s">
        <v>1914</v>
      </c>
      <c r="C1513" s="1951"/>
      <c r="D1513" s="1147">
        <v>99231</v>
      </c>
      <c r="E1513" s="1148" t="s">
        <v>1157</v>
      </c>
      <c r="F1513" s="1158">
        <v>-66570294.310000002</v>
      </c>
      <c r="G1513" s="1150">
        <f t="shared" si="6"/>
        <v>-66570294.310000002</v>
      </c>
      <c r="H1513" s="1151"/>
      <c r="I1513" s="1152"/>
      <c r="J1513" s="1153"/>
      <c r="K1513" s="1145"/>
      <c r="L1513" s="1149">
        <v>-31053512.170000002</v>
      </c>
      <c r="M1513" s="1154">
        <v>96016134.780000001</v>
      </c>
      <c r="N1513" s="1155"/>
      <c r="O1513" s="1156"/>
      <c r="P1513" s="1157"/>
    </row>
    <row r="1514" spans="1:16" x14ac:dyDescent="0.2">
      <c r="A1514" s="1146">
        <v>43025</v>
      </c>
      <c r="B1514" s="1950" t="s">
        <v>1914</v>
      </c>
      <c r="C1514" s="1951"/>
      <c r="D1514" s="1159">
        <v>99101</v>
      </c>
      <c r="E1514" s="1148" t="s">
        <v>1912</v>
      </c>
      <c r="F1514" s="1158">
        <v>337346</v>
      </c>
      <c r="G1514" s="1162">
        <f>+F1514*0</f>
        <v>0</v>
      </c>
      <c r="H1514" s="1151"/>
      <c r="I1514" s="1152"/>
      <c r="J1514" s="1153"/>
      <c r="K1514" s="1145"/>
      <c r="L1514" s="1149">
        <v>1256114761</v>
      </c>
      <c r="M1514" s="1163">
        <f>+L1514*0</f>
        <v>0</v>
      </c>
      <c r="N1514" s="1155"/>
      <c r="O1514" s="1156"/>
      <c r="P1514" s="1157"/>
    </row>
    <row r="1515" spans="1:16" ht="25.5" x14ac:dyDescent="0.2">
      <c r="A1515" s="1146">
        <v>43025</v>
      </c>
      <c r="B1515" s="1950" t="s">
        <v>1914</v>
      </c>
      <c r="C1515" s="1951"/>
      <c r="D1515" s="1170">
        <v>99102</v>
      </c>
      <c r="E1515" s="1148" t="s">
        <v>1915</v>
      </c>
      <c r="F1515" s="1158">
        <v>1457448482</v>
      </c>
      <c r="G1515" s="1162">
        <f t="shared" ref="G1515:G1516" si="8">+F1515-I1515</f>
        <v>1457448482</v>
      </c>
      <c r="H1515" s="1151"/>
      <c r="I1515" s="1152"/>
      <c r="J1515" s="1153"/>
      <c r="K1515" s="1145"/>
      <c r="L1515" s="1149"/>
      <c r="M1515" s="1163"/>
      <c r="N1515" s="1155"/>
      <c r="O1515" s="1156"/>
      <c r="P1515" s="1157"/>
    </row>
    <row r="1516" spans="1:16" ht="38.25" x14ac:dyDescent="0.2">
      <c r="A1516" s="1146"/>
      <c r="B1516" s="1171"/>
      <c r="C1516" s="1172"/>
      <c r="D1516" s="1170">
        <v>99109</v>
      </c>
      <c r="E1516" s="1148" t="s">
        <v>931</v>
      </c>
      <c r="F1516" s="1158">
        <v>3155372</v>
      </c>
      <c r="G1516" s="1162">
        <f t="shared" si="8"/>
        <v>3155372</v>
      </c>
      <c r="H1516" s="1151"/>
      <c r="I1516" s="1152"/>
      <c r="J1516" s="1153"/>
      <c r="K1516" s="1145"/>
      <c r="L1516" s="1149"/>
      <c r="M1516" s="1163"/>
      <c r="N1516" s="1155"/>
      <c r="O1516" s="1156"/>
      <c r="P1516" s="1157"/>
    </row>
    <row r="1517" spans="1:16" ht="25.5" x14ac:dyDescent="0.2">
      <c r="A1517" s="1146">
        <v>43025</v>
      </c>
      <c r="B1517" s="1950" t="s">
        <v>1914</v>
      </c>
      <c r="C1517" s="1951"/>
      <c r="D1517" s="1147">
        <v>99108</v>
      </c>
      <c r="E1517" s="1148" t="s">
        <v>1910</v>
      </c>
      <c r="F1517" s="1158">
        <v>142000000</v>
      </c>
      <c r="G1517" s="1150">
        <f>+F1517</f>
        <v>142000000</v>
      </c>
      <c r="H1517" s="1151"/>
      <c r="I1517" s="1152"/>
      <c r="J1517" s="1153"/>
      <c r="K1517" s="1145"/>
      <c r="L1517" s="1149">
        <v>128000000</v>
      </c>
      <c r="M1517" s="1154">
        <f>+L1517</f>
        <v>128000000</v>
      </c>
      <c r="N1517" s="1155"/>
      <c r="O1517" s="1156"/>
      <c r="P1517" s="1157"/>
    </row>
    <row r="1518" spans="1:16" ht="15" x14ac:dyDescent="0.2">
      <c r="A1518" s="1146"/>
      <c r="B1518" s="1960" t="s">
        <v>1913</v>
      </c>
      <c r="C1518" s="1961"/>
      <c r="D1518" s="1166"/>
      <c r="E1518" s="1167"/>
      <c r="F1518" s="1168">
        <f>SUM(F1512:F1517)</f>
        <v>1531370905.6900001</v>
      </c>
      <c r="G1518" s="1150">
        <f t="shared" si="6"/>
        <v>1531370905.6900001</v>
      </c>
      <c r="H1518" s="1151"/>
      <c r="I1518" s="1152"/>
      <c r="J1518" s="1153"/>
      <c r="K1518" s="1145"/>
      <c r="L1518" s="1168">
        <f>SUM(L1512:L1517)</f>
        <v>1348061248.8299999</v>
      </c>
      <c r="M1518" s="1154">
        <f t="shared" ref="M1518:M1520" si="9">+L1518-O1518</f>
        <v>1348061248.8299999</v>
      </c>
      <c r="N1518" s="1155"/>
      <c r="O1518" s="1156"/>
      <c r="P1518" s="1157"/>
    </row>
    <row r="1519" spans="1:16" x14ac:dyDescent="0.2">
      <c r="A1519" s="1146"/>
      <c r="B1519" s="1950"/>
      <c r="C1519" s="1951"/>
      <c r="D1519" s="1165"/>
      <c r="E1519" s="1148"/>
      <c r="F1519" s="1154"/>
      <c r="G1519" s="1150">
        <f t="shared" si="6"/>
        <v>0</v>
      </c>
      <c r="H1519" s="1151"/>
      <c r="I1519" s="1152"/>
      <c r="J1519" s="1153"/>
      <c r="K1519" s="1145"/>
      <c r="L1519" s="1150"/>
      <c r="M1519" s="1154">
        <f t="shared" si="9"/>
        <v>0</v>
      </c>
      <c r="N1519" s="1155"/>
      <c r="O1519" s="1156"/>
      <c r="P1519" s="1157"/>
    </row>
    <row r="1520" spans="1:16" ht="25.5" x14ac:dyDescent="0.2">
      <c r="A1520" s="1173">
        <v>53007</v>
      </c>
      <c r="B1520" s="1950" t="s">
        <v>1916</v>
      </c>
      <c r="C1520" s="1951"/>
      <c r="D1520" s="1159">
        <v>99225</v>
      </c>
      <c r="E1520" s="1148" t="s">
        <v>1153</v>
      </c>
      <c r="F1520" s="1158">
        <v>-3232326800.6300001</v>
      </c>
      <c r="G1520" s="1150">
        <f t="shared" si="6"/>
        <v>-3232326800.6300001</v>
      </c>
      <c r="H1520" s="1151"/>
      <c r="I1520" s="1152"/>
      <c r="J1520" s="1153"/>
      <c r="K1520" s="1145"/>
      <c r="L1520" s="1149">
        <v>-2933303838.6300001</v>
      </c>
      <c r="M1520" s="1154">
        <f t="shared" si="9"/>
        <v>-2933303838.6300001</v>
      </c>
      <c r="N1520" s="1155"/>
      <c r="O1520" s="1156"/>
      <c r="P1520" s="1157"/>
    </row>
    <row r="1521" spans="1:16" x14ac:dyDescent="0.2">
      <c r="A1521" s="1173">
        <v>53007</v>
      </c>
      <c r="B1521" s="1950" t="s">
        <v>1916</v>
      </c>
      <c r="C1521" s="1951"/>
      <c r="D1521" s="1159">
        <v>99118</v>
      </c>
      <c r="E1521" s="1148" t="s">
        <v>1089</v>
      </c>
      <c r="F1521" s="1158">
        <v>5000000</v>
      </c>
      <c r="G1521" s="1150">
        <f t="shared" si="6"/>
        <v>5000000</v>
      </c>
      <c r="H1521" s="1151"/>
      <c r="I1521" s="1152"/>
      <c r="J1521" s="1153"/>
      <c r="K1521" s="1145"/>
      <c r="L1521" s="1149">
        <v>5000000</v>
      </c>
      <c r="M1521" s="1154"/>
      <c r="N1521" s="1155"/>
      <c r="O1521" s="1156"/>
      <c r="P1521" s="1157"/>
    </row>
    <row r="1522" spans="1:16" x14ac:dyDescent="0.2">
      <c r="A1522" s="1173">
        <v>53007</v>
      </c>
      <c r="B1522" s="1950" t="s">
        <v>1916</v>
      </c>
      <c r="C1522" s="1951"/>
      <c r="D1522" s="1159">
        <v>99101</v>
      </c>
      <c r="E1522" s="1148" t="s">
        <v>1912</v>
      </c>
      <c r="F1522" s="1158">
        <v>35000000</v>
      </c>
      <c r="G1522" s="1150">
        <f t="shared" si="6"/>
        <v>35000000</v>
      </c>
      <c r="H1522" s="1151"/>
      <c r="I1522" s="1152"/>
      <c r="J1522" s="1153"/>
      <c r="K1522" s="1145"/>
      <c r="L1522" s="1149">
        <v>10000000</v>
      </c>
      <c r="M1522" s="1154"/>
      <c r="N1522" s="1155"/>
      <c r="O1522" s="1156"/>
      <c r="P1522" s="1157"/>
    </row>
    <row r="1523" spans="1:16" ht="25.5" x14ac:dyDescent="0.2">
      <c r="A1523" s="1174">
        <v>43169</v>
      </c>
      <c r="B1523" s="1146" t="s">
        <v>1917</v>
      </c>
      <c r="C1523" s="1175"/>
      <c r="D1523" s="1147">
        <v>99231</v>
      </c>
      <c r="E1523" s="1148" t="s">
        <v>1157</v>
      </c>
      <c r="F1523" s="1158">
        <v>-8504746</v>
      </c>
      <c r="G1523" s="1150">
        <f>+F1523</f>
        <v>-8504746</v>
      </c>
      <c r="H1523" s="1151"/>
      <c r="I1523" s="1152"/>
      <c r="J1523" s="1153"/>
      <c r="K1523" s="1145"/>
      <c r="L1523" s="1149">
        <v>-8504746</v>
      </c>
      <c r="M1523" s="1176">
        <f>+L1523</f>
        <v>-8504746</v>
      </c>
      <c r="N1523" s="1155"/>
      <c r="O1523" s="1156"/>
      <c r="P1523" s="1157"/>
    </row>
    <row r="1524" spans="1:16" x14ac:dyDescent="0.2">
      <c r="A1524" s="1174">
        <v>43169</v>
      </c>
      <c r="B1524" s="1146" t="s">
        <v>1917</v>
      </c>
      <c r="C1524" s="1175"/>
      <c r="D1524" s="1159">
        <v>99101</v>
      </c>
      <c r="E1524" s="1148" t="s">
        <v>1912</v>
      </c>
      <c r="F1524" s="1158">
        <v>10000</v>
      </c>
      <c r="G1524" s="1162">
        <f>+F1524*0</f>
        <v>0</v>
      </c>
      <c r="H1524" s="1151"/>
      <c r="I1524" s="1152"/>
      <c r="J1524" s="1153"/>
      <c r="K1524" s="1145"/>
      <c r="L1524" s="1149">
        <v>10000</v>
      </c>
      <c r="M1524" s="1163">
        <f>+L1524*0</f>
        <v>0</v>
      </c>
      <c r="N1524" s="1155"/>
      <c r="O1524" s="1156"/>
      <c r="P1524" s="1157"/>
    </row>
    <row r="1525" spans="1:16" ht="15" x14ac:dyDescent="0.2">
      <c r="A1525" s="1146"/>
      <c r="B1525" s="1960" t="s">
        <v>1913</v>
      </c>
      <c r="C1525" s="1961"/>
      <c r="D1525" s="1165"/>
      <c r="E1525" s="1167"/>
      <c r="F1525" s="1177">
        <f>SUM(F1520:F1524)</f>
        <v>-3200821546.6300001</v>
      </c>
      <c r="G1525" s="1150">
        <f t="shared" si="6"/>
        <v>-3200821546.6300001</v>
      </c>
      <c r="H1525" s="1151"/>
      <c r="I1525" s="1152"/>
      <c r="J1525" s="1153"/>
      <c r="K1525" s="1145"/>
      <c r="L1525" s="1178">
        <f>SUM(L1520:L1524)</f>
        <v>-2926798584.6300001</v>
      </c>
      <c r="M1525" s="1154">
        <f t="shared" ref="M1525:M1526" si="10">+L1525-O1525</f>
        <v>-2926798584.6300001</v>
      </c>
      <c r="N1525" s="1155"/>
      <c r="O1525" s="1156"/>
      <c r="P1525" s="1157"/>
    </row>
    <row r="1526" spans="1:16" ht="15" x14ac:dyDescent="0.2">
      <c r="A1526" s="1146"/>
      <c r="B1526" s="1960" t="s">
        <v>7</v>
      </c>
      <c r="C1526" s="1961"/>
      <c r="D1526" s="1166"/>
      <c r="E1526" s="1167"/>
      <c r="F1526" s="1168">
        <f>+F1510+F1518+F1525</f>
        <v>-7129424046.3500004</v>
      </c>
      <c r="G1526" s="1150">
        <f t="shared" si="6"/>
        <v>-7129424046.3500004</v>
      </c>
      <c r="H1526" s="1151"/>
      <c r="I1526" s="1152"/>
      <c r="J1526" s="1153"/>
      <c r="K1526" s="1145"/>
      <c r="L1526" s="1169">
        <f>+L1510+L1518+L1525</f>
        <v>-7044569446.3800001</v>
      </c>
      <c r="M1526" s="1154">
        <f t="shared" si="10"/>
        <v>-7044569446.3800001</v>
      </c>
      <c r="N1526" s="1155"/>
      <c r="O1526" s="1156"/>
      <c r="P1526" s="1157"/>
    </row>
    <row r="1527" spans="1:16" x14ac:dyDescent="0.2">
      <c r="F1527" s="768">
        <f>+F1526+F1523+F1524</f>
        <v>-7137918792.3500004</v>
      </c>
    </row>
    <row r="1528" spans="1:16" x14ac:dyDescent="0.2">
      <c r="G1528" s="337"/>
    </row>
    <row r="1530" spans="1:16" ht="15" x14ac:dyDescent="0.25">
      <c r="A1530" s="1962" t="s">
        <v>1918</v>
      </c>
      <c r="B1530" s="1962"/>
      <c r="C1530" s="1962"/>
      <c r="D1530" s="1962"/>
      <c r="E1530" s="1962"/>
      <c r="F1530" s="1962"/>
    </row>
    <row r="1531" spans="1:16" ht="30" x14ac:dyDescent="0.2">
      <c r="A1531" s="1140" t="s">
        <v>1919</v>
      </c>
      <c r="B1531" s="1963" t="s">
        <v>1920</v>
      </c>
      <c r="C1531" s="1964"/>
      <c r="D1531" s="1179" t="s">
        <v>1906</v>
      </c>
      <c r="E1531" s="1180" t="s">
        <v>1907</v>
      </c>
      <c r="F1531" s="1180" t="s">
        <v>1908</v>
      </c>
      <c r="G1531" s="1143" t="s">
        <v>1641</v>
      </c>
      <c r="H1531" s="1143" t="s">
        <v>1892</v>
      </c>
      <c r="I1531" s="1143" t="s">
        <v>1642</v>
      </c>
      <c r="J1531" s="1143" t="s">
        <v>1892</v>
      </c>
      <c r="L1531" s="1179" t="s">
        <v>1908</v>
      </c>
      <c r="M1531" s="1143" t="s">
        <v>1641</v>
      </c>
      <c r="N1531" s="1143" t="s">
        <v>1892</v>
      </c>
      <c r="O1531" s="1143" t="s">
        <v>1642</v>
      </c>
      <c r="P1531" s="1143" t="s">
        <v>1892</v>
      </c>
    </row>
    <row r="1532" spans="1:16" ht="38.25" x14ac:dyDescent="0.2">
      <c r="A1532" s="1181">
        <v>10000</v>
      </c>
      <c r="B1532" s="1965" t="s">
        <v>1921</v>
      </c>
      <c r="C1532" s="1966"/>
      <c r="D1532" s="1159">
        <v>99205</v>
      </c>
      <c r="E1532" s="1182" t="s">
        <v>1010</v>
      </c>
      <c r="F1532" s="1149">
        <v>300779711926.15997</v>
      </c>
      <c r="G1532" s="1154">
        <f>+F1532-I1532</f>
        <v>300779711926.15997</v>
      </c>
      <c r="H1532" s="829"/>
      <c r="I1532" s="1183"/>
      <c r="J1532" s="1184"/>
      <c r="K1532" s="1967" t="s">
        <v>1922</v>
      </c>
      <c r="L1532" s="1149">
        <v>258030908905.84</v>
      </c>
      <c r="M1532" s="1154">
        <f>+L1532-O1532</f>
        <v>258030908905.84</v>
      </c>
      <c r="N1532" s="829"/>
      <c r="O1532" s="1183"/>
      <c r="P1532" s="1184"/>
    </row>
    <row r="1533" spans="1:16" ht="38.25" x14ac:dyDescent="0.2">
      <c r="A1533" s="1181">
        <v>10011</v>
      </c>
      <c r="B1533" s="1950" t="s">
        <v>1923</v>
      </c>
      <c r="C1533" s="1951"/>
      <c r="D1533" s="1159">
        <v>99205</v>
      </c>
      <c r="E1533" s="1182" t="s">
        <v>1010</v>
      </c>
      <c r="F1533" s="1149">
        <v>2299435048.8000002</v>
      </c>
      <c r="G1533" s="1154">
        <f t="shared" ref="G1533:G1557" si="11">+F1533-I1533</f>
        <v>2299435048.8000002</v>
      </c>
      <c r="H1533" s="829"/>
      <c r="I1533" s="1183"/>
      <c r="J1533" s="1184"/>
      <c r="K1533" s="1967"/>
      <c r="L1533" s="1149">
        <v>1357482880.23</v>
      </c>
      <c r="M1533" s="1154">
        <f t="shared" ref="M1533:M1536" si="12">+L1533-O1533</f>
        <v>1357482880.23</v>
      </c>
      <c r="N1533" s="829"/>
      <c r="O1533" s="1183"/>
      <c r="P1533" s="1184"/>
    </row>
    <row r="1534" spans="1:16" ht="38.25" x14ac:dyDescent="0.2">
      <c r="A1534" s="1181">
        <v>10012</v>
      </c>
      <c r="B1534" s="1950" t="s">
        <v>1924</v>
      </c>
      <c r="C1534" s="1951"/>
      <c r="D1534" s="1159">
        <v>99205</v>
      </c>
      <c r="E1534" s="1182" t="s">
        <v>1010</v>
      </c>
      <c r="F1534" s="1149">
        <v>404805575.45999998</v>
      </c>
      <c r="G1534" s="1154">
        <f t="shared" si="11"/>
        <v>404805575.45999998</v>
      </c>
      <c r="H1534" s="829"/>
      <c r="I1534" s="1183"/>
      <c r="J1534" s="1184"/>
      <c r="K1534" s="1967"/>
      <c r="L1534" s="1149">
        <v>336280784.27999997</v>
      </c>
      <c r="M1534" s="1154">
        <f t="shared" si="12"/>
        <v>336280784.27999997</v>
      </c>
      <c r="N1534" s="829"/>
      <c r="O1534" s="1183"/>
      <c r="P1534" s="1184"/>
    </row>
    <row r="1535" spans="1:16" ht="38.25" x14ac:dyDescent="0.2">
      <c r="A1535" s="1181">
        <v>10015</v>
      </c>
      <c r="B1535" s="1950" t="s">
        <v>1925</v>
      </c>
      <c r="C1535" s="1951"/>
      <c r="D1535" s="1159">
        <v>99205</v>
      </c>
      <c r="E1535" s="1182" t="s">
        <v>1010</v>
      </c>
      <c r="F1535" s="1149">
        <v>14647868.66</v>
      </c>
      <c r="G1535" s="1154">
        <f t="shared" si="11"/>
        <v>14647868.66</v>
      </c>
      <c r="H1535" s="829"/>
      <c r="I1535" s="1183"/>
      <c r="J1535" s="1184"/>
      <c r="K1535" s="1967"/>
      <c r="L1535" s="1149">
        <v>16808286.609999999</v>
      </c>
      <c r="M1535" s="1154">
        <f t="shared" si="12"/>
        <v>16808286.609999999</v>
      </c>
      <c r="N1535" s="829"/>
      <c r="O1535" s="1183"/>
      <c r="P1535" s="1184"/>
    </row>
    <row r="1536" spans="1:16" ht="38.25" x14ac:dyDescent="0.2">
      <c r="A1536" s="1181">
        <v>10025</v>
      </c>
      <c r="B1536" s="1171" t="s">
        <v>1926</v>
      </c>
      <c r="C1536" s="1172"/>
      <c r="D1536" s="1159">
        <v>99205</v>
      </c>
      <c r="E1536" s="1182" t="s">
        <v>1010</v>
      </c>
      <c r="F1536" s="1149">
        <v>87923243.709999993</v>
      </c>
      <c r="G1536" s="1154">
        <f t="shared" si="11"/>
        <v>87923243.709999993</v>
      </c>
      <c r="H1536" s="829"/>
      <c r="I1536" s="1183"/>
      <c r="J1536" s="1184"/>
      <c r="K1536" s="1185"/>
      <c r="L1536" s="1149">
        <v>67839289.879999995</v>
      </c>
      <c r="M1536" s="1154">
        <f t="shared" si="12"/>
        <v>67839289.879999995</v>
      </c>
      <c r="N1536" s="829"/>
      <c r="O1536" s="1183"/>
      <c r="P1536" s="1184"/>
    </row>
    <row r="1537" spans="1:16" x14ac:dyDescent="0.2">
      <c r="A1537" s="1186">
        <v>30948</v>
      </c>
      <c r="B1537" s="1968" t="s">
        <v>1927</v>
      </c>
      <c r="C1537" s="1969"/>
      <c r="D1537" s="1159">
        <v>99206</v>
      </c>
      <c r="E1537" s="1182"/>
      <c r="F1537" s="1149"/>
      <c r="G1537" s="1154"/>
      <c r="H1537" s="829"/>
      <c r="I1537" s="1183"/>
      <c r="J1537" s="1184"/>
      <c r="L1537" s="1149"/>
      <c r="M1537" s="1154"/>
      <c r="N1537" s="829"/>
      <c r="O1537" s="1183"/>
      <c r="P1537" s="1184"/>
    </row>
    <row r="1538" spans="1:16" x14ac:dyDescent="0.2">
      <c r="A1538" s="1187">
        <v>40108</v>
      </c>
      <c r="B1538" s="1968" t="s">
        <v>1928</v>
      </c>
      <c r="C1538" s="1969"/>
      <c r="D1538" s="1159">
        <v>99206</v>
      </c>
      <c r="E1538" s="1182" t="s">
        <v>1929</v>
      </c>
      <c r="F1538" s="1149"/>
      <c r="G1538" s="1154">
        <f>+F1538</f>
        <v>0</v>
      </c>
      <c r="H1538" s="829"/>
      <c r="I1538" s="1183"/>
      <c r="J1538" s="1184"/>
      <c r="L1538" s="1149"/>
      <c r="M1538" s="1154">
        <f>+L1538</f>
        <v>0</v>
      </c>
      <c r="N1538" s="829"/>
      <c r="O1538" s="1183"/>
      <c r="P1538" s="1184"/>
    </row>
    <row r="1539" spans="1:16" x14ac:dyDescent="0.2">
      <c r="A1539" s="1187">
        <v>40140</v>
      </c>
      <c r="B1539" s="1968" t="s">
        <v>1930</v>
      </c>
      <c r="C1539" s="1969"/>
      <c r="D1539" s="1159">
        <v>99206</v>
      </c>
      <c r="E1539" s="1182"/>
      <c r="F1539" s="1149"/>
      <c r="G1539" s="1154"/>
      <c r="H1539" s="829"/>
      <c r="I1539" s="1183"/>
      <c r="J1539" s="1184"/>
      <c r="L1539" s="1149"/>
      <c r="M1539" s="1154"/>
      <c r="N1539" s="829"/>
      <c r="O1539" s="1183"/>
      <c r="P1539" s="1184"/>
    </row>
    <row r="1540" spans="1:16" x14ac:dyDescent="0.2">
      <c r="A1540" s="1187">
        <v>40142</v>
      </c>
      <c r="B1540" s="1968" t="s">
        <v>1931</v>
      </c>
      <c r="C1540" s="1969"/>
      <c r="D1540" s="1159">
        <v>99206</v>
      </c>
      <c r="E1540" s="1182" t="s">
        <v>1929</v>
      </c>
      <c r="F1540" s="1149"/>
      <c r="G1540" s="1154">
        <f>+F1540</f>
        <v>0</v>
      </c>
      <c r="H1540" s="829"/>
      <c r="I1540" s="1183"/>
      <c r="J1540" s="1184"/>
      <c r="L1540" s="1149"/>
      <c r="M1540" s="1154">
        <f>+L1540</f>
        <v>0</v>
      </c>
      <c r="N1540" s="829"/>
      <c r="O1540" s="1183"/>
      <c r="P1540" s="1184"/>
    </row>
    <row r="1541" spans="1:16" x14ac:dyDescent="0.2">
      <c r="A1541" s="1187" t="s">
        <v>1932</v>
      </c>
      <c r="B1541" s="1950" t="s">
        <v>1933</v>
      </c>
      <c r="C1541" s="1951"/>
      <c r="D1541" s="1159">
        <v>99206</v>
      </c>
      <c r="E1541" s="1182" t="s">
        <v>1934</v>
      </c>
      <c r="F1541" s="1149"/>
      <c r="G1541" s="1154"/>
      <c r="H1541" s="829"/>
      <c r="I1541" s="1183"/>
      <c r="J1541" s="1184"/>
      <c r="L1541" s="1149"/>
      <c r="M1541" s="1154"/>
      <c r="N1541" s="829"/>
      <c r="O1541" s="1183"/>
      <c r="P1541" s="1184"/>
    </row>
    <row r="1542" spans="1:16" x14ac:dyDescent="0.2">
      <c r="A1542" s="1187" t="s">
        <v>1935</v>
      </c>
      <c r="B1542" s="1950" t="s">
        <v>1936</v>
      </c>
      <c r="C1542" s="1951"/>
      <c r="D1542" s="1159">
        <v>99206</v>
      </c>
      <c r="E1542" s="1182" t="s">
        <v>1934</v>
      </c>
      <c r="F1542" s="1149"/>
      <c r="G1542" s="1154"/>
      <c r="H1542" s="829"/>
      <c r="I1542" s="1183"/>
      <c r="J1542" s="1184"/>
      <c r="L1542" s="1149">
        <v>-1984704</v>
      </c>
      <c r="M1542" s="1154"/>
      <c r="N1542" s="829"/>
      <c r="O1542" s="1183"/>
      <c r="P1542" s="1184"/>
    </row>
    <row r="1543" spans="1:16" x14ac:dyDescent="0.2">
      <c r="A1543" s="1186">
        <v>30944</v>
      </c>
      <c r="B1543" s="1970" t="s">
        <v>1937</v>
      </c>
      <c r="C1543" s="1966"/>
      <c r="D1543" s="1159">
        <v>99206</v>
      </c>
      <c r="E1543" s="1182"/>
      <c r="F1543" s="1149"/>
      <c r="G1543" s="1154"/>
      <c r="H1543" s="829"/>
      <c r="I1543" s="1183"/>
      <c r="J1543" s="1184"/>
      <c r="L1543" s="1149"/>
      <c r="M1543" s="1154"/>
      <c r="N1543" s="829"/>
      <c r="O1543" s="1183"/>
      <c r="P1543" s="1184"/>
    </row>
    <row r="1544" spans="1:16" x14ac:dyDescent="0.2">
      <c r="A1544" s="1186">
        <v>30955</v>
      </c>
      <c r="B1544" s="1950" t="s">
        <v>1938</v>
      </c>
      <c r="C1544" s="1951"/>
      <c r="D1544" s="1159">
        <v>99206</v>
      </c>
      <c r="E1544" s="1182"/>
      <c r="F1544" s="1149"/>
      <c r="G1544" s="1154"/>
      <c r="H1544" s="829"/>
      <c r="I1544" s="1183"/>
      <c r="J1544" s="1184"/>
      <c r="L1544" s="1149"/>
      <c r="M1544" s="1154"/>
      <c r="N1544" s="829"/>
      <c r="O1544" s="1183"/>
      <c r="P1544" s="1184"/>
    </row>
    <row r="1545" spans="1:16" x14ac:dyDescent="0.2">
      <c r="A1545" s="1186">
        <v>31421</v>
      </c>
      <c r="B1545" s="1970" t="s">
        <v>1933</v>
      </c>
      <c r="C1545" s="1966"/>
      <c r="D1545" s="1159">
        <v>99206</v>
      </c>
      <c r="E1545" s="1182"/>
      <c r="F1545" s="1149"/>
      <c r="G1545" s="1154"/>
      <c r="H1545" s="829"/>
      <c r="I1545" s="1183"/>
      <c r="J1545" s="1184"/>
      <c r="L1545" s="1149"/>
      <c r="M1545" s="1154"/>
      <c r="N1545" s="829"/>
      <c r="O1545" s="1183"/>
      <c r="P1545" s="1184"/>
    </row>
    <row r="1546" spans="1:16" x14ac:dyDescent="0.2">
      <c r="A1546" s="1186">
        <v>30943</v>
      </c>
      <c r="B1546" s="1950" t="s">
        <v>1939</v>
      </c>
      <c r="C1546" s="1951"/>
      <c r="D1546" s="1159">
        <v>99206</v>
      </c>
      <c r="E1546" s="1182"/>
      <c r="F1546" s="1149"/>
      <c r="G1546" s="1154"/>
      <c r="H1546" s="829"/>
      <c r="I1546" s="1183"/>
      <c r="J1546" s="1184"/>
      <c r="L1546" s="1149"/>
      <c r="M1546" s="1154"/>
      <c r="N1546" s="829"/>
      <c r="O1546" s="1183"/>
      <c r="P1546" s="1184"/>
    </row>
    <row r="1547" spans="1:16" x14ac:dyDescent="0.2">
      <c r="A1547" s="1186">
        <v>30949</v>
      </c>
      <c r="B1547" s="1950" t="s">
        <v>1940</v>
      </c>
      <c r="C1547" s="1951"/>
      <c r="D1547" s="1159">
        <v>99206</v>
      </c>
      <c r="E1547" s="1182"/>
      <c r="F1547" s="1149"/>
      <c r="G1547" s="1154"/>
      <c r="H1547" s="829"/>
      <c r="I1547" s="1183"/>
      <c r="J1547" s="1184"/>
      <c r="L1547" s="1149">
        <v>62461239.060000002</v>
      </c>
      <c r="M1547" s="1154"/>
      <c r="N1547" s="829"/>
      <c r="O1547" s="1183"/>
      <c r="P1547" s="1184"/>
    </row>
    <row r="1548" spans="1:16" x14ac:dyDescent="0.2">
      <c r="A1548" s="1186">
        <v>30950</v>
      </c>
      <c r="B1548" s="1950" t="s">
        <v>1941</v>
      </c>
      <c r="C1548" s="1951"/>
      <c r="D1548" s="1159">
        <v>99206</v>
      </c>
      <c r="E1548" s="1182"/>
      <c r="F1548" s="1149"/>
      <c r="G1548" s="1154"/>
      <c r="H1548" s="829"/>
      <c r="I1548" s="1183"/>
      <c r="J1548" s="1184"/>
      <c r="L1548" s="1149"/>
      <c r="M1548" s="1154"/>
      <c r="N1548" s="829"/>
      <c r="O1548" s="1183"/>
      <c r="P1548" s="1184"/>
    </row>
    <row r="1549" spans="1:16" x14ac:dyDescent="0.2">
      <c r="A1549" s="1186">
        <v>30956</v>
      </c>
      <c r="B1549" s="1950" t="s">
        <v>1942</v>
      </c>
      <c r="C1549" s="1951"/>
      <c r="D1549" s="1159">
        <v>99206</v>
      </c>
      <c r="E1549" s="1182" t="s">
        <v>1934</v>
      </c>
      <c r="F1549" s="1149"/>
      <c r="G1549" s="1154"/>
      <c r="H1549" s="829"/>
      <c r="I1549" s="1183"/>
      <c r="J1549" s="1184"/>
      <c r="L1549" s="1149"/>
      <c r="M1549" s="1154"/>
      <c r="N1549" s="829"/>
      <c r="O1549" s="1183"/>
      <c r="P1549" s="1184"/>
    </row>
    <row r="1550" spans="1:16" x14ac:dyDescent="0.2">
      <c r="A1550" s="1186">
        <v>31280</v>
      </c>
      <c r="B1550" s="1950" t="s">
        <v>1943</v>
      </c>
      <c r="C1550" s="1951"/>
      <c r="D1550" s="1159">
        <v>99206</v>
      </c>
      <c r="E1550" s="1182" t="s">
        <v>1934</v>
      </c>
      <c r="F1550" s="1149"/>
      <c r="G1550" s="1154"/>
      <c r="H1550" s="829"/>
      <c r="I1550" s="1183"/>
      <c r="J1550" s="1184"/>
      <c r="L1550" s="1149"/>
      <c r="M1550" s="1154"/>
      <c r="N1550" s="829"/>
      <c r="O1550" s="1183"/>
      <c r="P1550" s="1184"/>
    </row>
    <row r="1551" spans="1:16" x14ac:dyDescent="0.2">
      <c r="A1551" s="1181"/>
      <c r="B1551" s="1974"/>
      <c r="C1551" s="1975"/>
      <c r="D1551" s="1165"/>
      <c r="E1551" s="1182"/>
      <c r="F1551" s="1149"/>
      <c r="G1551" s="1154"/>
      <c r="H1551" s="829"/>
      <c r="I1551" s="1183"/>
      <c r="J1551" s="1184"/>
      <c r="L1551" s="1149"/>
      <c r="M1551" s="1154"/>
      <c r="N1551" s="829"/>
      <c r="O1551" s="1183"/>
      <c r="P1551" s="1184"/>
    </row>
    <row r="1552" spans="1:16" ht="15" x14ac:dyDescent="0.2">
      <c r="A1552" s="1972" t="s">
        <v>1944</v>
      </c>
      <c r="B1552" s="1972"/>
      <c r="C1552" s="1972"/>
      <c r="D1552" s="1972"/>
      <c r="E1552" s="1972"/>
      <c r="F1552" s="1188">
        <f>SUM(F1532:F1551)</f>
        <v>303586523662.78998</v>
      </c>
      <c r="G1552" s="1189">
        <f>SUM(G1532:G1551)</f>
        <v>303586523662.78998</v>
      </c>
      <c r="H1552" s="1189">
        <f>SUM(H1532:H1551)</f>
        <v>0</v>
      </c>
      <c r="I1552" s="1189">
        <f>SUM(I1532:I1551)</f>
        <v>0</v>
      </c>
      <c r="J1552" s="1189">
        <f>SUM(J1532:J1551)</f>
        <v>0</v>
      </c>
      <c r="L1552" s="1188">
        <f>SUM(L1532:L1551)</f>
        <v>259869796681.89999</v>
      </c>
      <c r="M1552" s="1189">
        <f>SUM(M1532:M1551)</f>
        <v>259809320146.84</v>
      </c>
      <c r="N1552" s="1189">
        <f>SUM(N1532:N1551)</f>
        <v>0</v>
      </c>
      <c r="O1552" s="1189">
        <f>SUM(O1532:O1551)</f>
        <v>0</v>
      </c>
      <c r="P1552" s="1189">
        <f>SUM(P1532:P1551)</f>
        <v>0</v>
      </c>
    </row>
    <row r="1553" spans="1:16" x14ac:dyDescent="0.2">
      <c r="A1553" s="1974"/>
      <c r="B1553" s="1976"/>
      <c r="C1553" s="1976"/>
      <c r="D1553" s="1976"/>
      <c r="E1553" s="1976"/>
      <c r="F1553" s="1975"/>
      <c r="G1553" s="1154">
        <f t="shared" si="11"/>
        <v>0</v>
      </c>
      <c r="H1553" s="829"/>
      <c r="I1553" s="1183"/>
      <c r="J1553" s="1184"/>
    </row>
    <row r="1554" spans="1:16" ht="38.25" x14ac:dyDescent="0.2">
      <c r="A1554" s="1181">
        <v>10005</v>
      </c>
      <c r="B1554" s="1971" t="s">
        <v>1945</v>
      </c>
      <c r="C1554" s="1977"/>
      <c r="D1554" s="1159">
        <v>99201</v>
      </c>
      <c r="E1554" s="1182" t="s">
        <v>1006</v>
      </c>
      <c r="F1554" s="1149">
        <v>708849385</v>
      </c>
      <c r="G1554" s="1154">
        <f>+F1554-I1554</f>
        <v>708849385</v>
      </c>
      <c r="H1554" s="829"/>
      <c r="I1554" s="1183"/>
      <c r="J1554" s="1184"/>
      <c r="L1554" s="1149">
        <v>708849385</v>
      </c>
      <c r="M1554" s="1154">
        <f t="shared" ref="M1554:M1557" si="13">+L1554-O1554</f>
        <v>708849385</v>
      </c>
      <c r="N1554" s="829"/>
      <c r="O1554" s="1183"/>
      <c r="P1554" s="1184"/>
    </row>
    <row r="1555" spans="1:16" ht="38.25" x14ac:dyDescent="0.2">
      <c r="A1555" s="1181">
        <v>22010</v>
      </c>
      <c r="B1555" s="1971" t="s">
        <v>1946</v>
      </c>
      <c r="C1555" s="1951"/>
      <c r="D1555" s="1159">
        <v>99201</v>
      </c>
      <c r="E1555" s="1182" t="s">
        <v>1006</v>
      </c>
      <c r="F1555" s="1190">
        <v>379631480</v>
      </c>
      <c r="G1555" s="1154">
        <f t="shared" si="11"/>
        <v>379631480</v>
      </c>
      <c r="H1555" s="829"/>
      <c r="I1555" s="1183"/>
      <c r="J1555" s="1184"/>
      <c r="L1555" s="1190">
        <v>379631480</v>
      </c>
      <c r="M1555" s="1154">
        <f t="shared" si="13"/>
        <v>379631480</v>
      </c>
      <c r="N1555" s="829"/>
      <c r="O1555" s="1183"/>
      <c r="P1555" s="1184"/>
    </row>
    <row r="1556" spans="1:16" ht="38.25" x14ac:dyDescent="0.2">
      <c r="A1556" s="1181">
        <v>10020</v>
      </c>
      <c r="B1556" s="1191" t="s">
        <v>1947</v>
      </c>
      <c r="C1556" s="1192"/>
      <c r="D1556" s="1159">
        <v>99201</v>
      </c>
      <c r="E1556" s="1182" t="s">
        <v>1006</v>
      </c>
      <c r="F1556" s="1149">
        <v>662371528.96000004</v>
      </c>
      <c r="G1556" s="1154">
        <f>+F1556-I1556</f>
        <v>662371528.96000004</v>
      </c>
      <c r="H1556" s="829"/>
      <c r="I1556" s="1183"/>
      <c r="J1556" s="1184"/>
      <c r="L1556" s="1190">
        <v>517005201.05000001</v>
      </c>
      <c r="M1556" s="1154">
        <f t="shared" si="13"/>
        <v>517005201.05000001</v>
      </c>
      <c r="N1556" s="829"/>
      <c r="O1556" s="1183"/>
      <c r="P1556" s="1184"/>
    </row>
    <row r="1557" spans="1:16" ht="25.5" x14ac:dyDescent="0.2">
      <c r="A1557" s="1193">
        <v>21633</v>
      </c>
      <c r="B1557" s="1970" t="s">
        <v>1948</v>
      </c>
      <c r="C1557" s="1966"/>
      <c r="D1557" s="1159">
        <v>99200</v>
      </c>
      <c r="E1557" s="1182" t="s">
        <v>1949</v>
      </c>
      <c r="F1557" s="1190">
        <v>12462</v>
      </c>
      <c r="G1557" s="1154">
        <f t="shared" si="11"/>
        <v>12462</v>
      </c>
      <c r="H1557" s="829"/>
      <c r="I1557" s="1183"/>
      <c r="J1557" s="1184"/>
      <c r="L1557" s="1190"/>
      <c r="M1557" s="1154">
        <f t="shared" si="13"/>
        <v>0</v>
      </c>
      <c r="N1557" s="829"/>
      <c r="O1557" s="1183"/>
      <c r="P1557" s="1184"/>
    </row>
    <row r="1558" spans="1:16" x14ac:dyDescent="0.2">
      <c r="A1558" s="1181"/>
      <c r="B1558" s="1191"/>
      <c r="C1558" s="1192"/>
      <c r="D1558" s="1165"/>
      <c r="E1558" s="1182"/>
      <c r="F1558" s="1194"/>
      <c r="G1558" s="1154"/>
      <c r="H1558" s="829"/>
      <c r="I1558" s="1183"/>
      <c r="J1558" s="1184"/>
      <c r="L1558" s="1190"/>
      <c r="M1558" s="1154"/>
      <c r="N1558" s="829"/>
      <c r="O1558" s="1183"/>
      <c r="P1558" s="1184"/>
    </row>
    <row r="1559" spans="1:16" ht="15" x14ac:dyDescent="0.2">
      <c r="A1559" s="1972" t="s">
        <v>1944</v>
      </c>
      <c r="B1559" s="1972"/>
      <c r="C1559" s="1972"/>
      <c r="D1559" s="1972"/>
      <c r="E1559" s="1972"/>
      <c r="F1559" s="1195">
        <f>SUM(F1554:F1558)</f>
        <v>1750864855.96</v>
      </c>
      <c r="G1559" s="1196">
        <f t="shared" ref="G1559:J1559" si="14">SUM(G1554:G1558)</f>
        <v>1750864855.96</v>
      </c>
      <c r="H1559" s="1196">
        <f t="shared" si="14"/>
        <v>0</v>
      </c>
      <c r="I1559" s="1196">
        <f t="shared" si="14"/>
        <v>0</v>
      </c>
      <c r="J1559" s="1196">
        <f t="shared" si="14"/>
        <v>0</v>
      </c>
      <c r="L1559" s="1195">
        <f>SUM(L1554:L1558)</f>
        <v>1605486066.05</v>
      </c>
      <c r="M1559" s="1196">
        <f t="shared" ref="M1559:P1559" si="15">SUM(M1554:M1558)</f>
        <v>1605486066.05</v>
      </c>
      <c r="N1559" s="1196">
        <f t="shared" si="15"/>
        <v>0</v>
      </c>
      <c r="O1559" s="1196">
        <f t="shared" si="15"/>
        <v>0</v>
      </c>
      <c r="P1559" s="1196">
        <f t="shared" si="15"/>
        <v>0</v>
      </c>
    </row>
    <row r="1560" spans="1:16" ht="15" x14ac:dyDescent="0.2">
      <c r="A1560" s="1973" t="s">
        <v>7</v>
      </c>
      <c r="B1560" s="1973"/>
      <c r="C1560" s="1973"/>
      <c r="D1560" s="1973"/>
      <c r="E1560" s="1973"/>
      <c r="F1560" s="1195">
        <f>+F1552+F1559</f>
        <v>305337388518.75</v>
      </c>
      <c r="G1560" s="1196">
        <f>+G1552+G1559</f>
        <v>305337388518.75</v>
      </c>
      <c r="H1560" s="829"/>
      <c r="I1560" s="1183"/>
      <c r="J1560" s="1184"/>
      <c r="L1560" s="1195">
        <f>+L1552+L1559</f>
        <v>261475282747.94998</v>
      </c>
      <c r="M1560" s="1196">
        <f>+M1552+M1559</f>
        <v>261414806212.88998</v>
      </c>
      <c r="N1560" s="829"/>
      <c r="O1560" s="1183"/>
      <c r="P1560" s="1184"/>
    </row>
    <row r="1564" spans="1:16" x14ac:dyDescent="0.2">
      <c r="F1564" s="911">
        <f>F1563-F1559</f>
        <v>-1750864855.96</v>
      </c>
    </row>
    <row r="1568" spans="1:16" x14ac:dyDescent="0.2">
      <c r="H1568" s="836">
        <f>+G403*2</f>
        <v>3141.7033301720003</v>
      </c>
    </row>
    <row r="1591" spans="2:2" x14ac:dyDescent="0.2">
      <c r="B1591" s="1146"/>
    </row>
    <row r="1592" spans="2:2" x14ac:dyDescent="0.2">
      <c r="B1592" s="1146"/>
    </row>
    <row r="1593" spans="2:2" x14ac:dyDescent="0.2">
      <c r="B1593" s="1146"/>
    </row>
    <row r="1594" spans="2:2" x14ac:dyDescent="0.2">
      <c r="B1594" s="1173"/>
    </row>
    <row r="1595" spans="2:2" x14ac:dyDescent="0.2">
      <c r="B1595" s="1174"/>
    </row>
  </sheetData>
  <mergeCells count="65">
    <mergeCell ref="B1555:C1555"/>
    <mergeCell ref="B1557:C1557"/>
    <mergeCell ref="A1559:E1559"/>
    <mergeCell ref="A1560:E1560"/>
    <mergeCell ref="B1549:C1549"/>
    <mergeCell ref="B1550:C1550"/>
    <mergeCell ref="B1551:C1551"/>
    <mergeCell ref="A1552:E1552"/>
    <mergeCell ref="A1553:F1553"/>
    <mergeCell ref="B1554:C1554"/>
    <mergeCell ref="B1548:C1548"/>
    <mergeCell ref="B1537:C1537"/>
    <mergeCell ref="B1538:C1538"/>
    <mergeCell ref="B1539:C1539"/>
    <mergeCell ref="B1540:C1540"/>
    <mergeCell ref="B1541:C1541"/>
    <mergeCell ref="B1542:C1542"/>
    <mergeCell ref="B1543:C1543"/>
    <mergeCell ref="B1544:C1544"/>
    <mergeCell ref="B1545:C1545"/>
    <mergeCell ref="B1546:C1546"/>
    <mergeCell ref="B1547:C1547"/>
    <mergeCell ref="B1531:C1531"/>
    <mergeCell ref="B1532:C1532"/>
    <mergeCell ref="K1532:K1535"/>
    <mergeCell ref="B1533:C1533"/>
    <mergeCell ref="B1534:C1534"/>
    <mergeCell ref="B1535:C1535"/>
    <mergeCell ref="A1530:F1530"/>
    <mergeCell ref="B1513:C1513"/>
    <mergeCell ref="B1514:C1514"/>
    <mergeCell ref="B1515:C1515"/>
    <mergeCell ref="B1517:C1517"/>
    <mergeCell ref="B1518:C1518"/>
    <mergeCell ref="B1519:C1519"/>
    <mergeCell ref="B1520:C1520"/>
    <mergeCell ref="B1521:C1521"/>
    <mergeCell ref="B1522:C1522"/>
    <mergeCell ref="B1525:C1525"/>
    <mergeCell ref="B1526:C1526"/>
    <mergeCell ref="L1496:P1496"/>
    <mergeCell ref="B1497:C1497"/>
    <mergeCell ref="B1498:C1498"/>
    <mergeCell ref="B1499:C1499"/>
    <mergeCell ref="B1512:C1512"/>
    <mergeCell ref="B1501:C1501"/>
    <mergeCell ref="B1502:C1502"/>
    <mergeCell ref="B1503:C1503"/>
    <mergeCell ref="B1504:C1504"/>
    <mergeCell ref="B1505:C1505"/>
    <mergeCell ref="B1506:C1506"/>
    <mergeCell ref="B1507:C1507"/>
    <mergeCell ref="B1508:C1508"/>
    <mergeCell ref="B1509:C1509"/>
    <mergeCell ref="B1510:C1510"/>
    <mergeCell ref="B1511:C1511"/>
    <mergeCell ref="B1500:C1500"/>
    <mergeCell ref="C3:D3"/>
    <mergeCell ref="E3:F3"/>
    <mergeCell ref="G4:H4"/>
    <mergeCell ref="I4:J4"/>
    <mergeCell ref="F758:F760"/>
    <mergeCell ref="D1157:E1157"/>
    <mergeCell ref="F1157:G1157"/>
    <mergeCell ref="F1496:J1496"/>
  </mergeCells>
  <conditionalFormatting sqref="A46">
    <cfRule type="duplicateValues" dxfId="74" priority="28"/>
  </conditionalFormatting>
  <conditionalFormatting sqref="A48:A50">
    <cfRule type="duplicateValues" dxfId="73" priority="53"/>
  </conditionalFormatting>
  <conditionalFormatting sqref="A124">
    <cfRule type="duplicateValues" dxfId="72" priority="49"/>
  </conditionalFormatting>
  <conditionalFormatting sqref="A152:A157">
    <cfRule type="duplicateValues" dxfId="71" priority="54"/>
  </conditionalFormatting>
  <conditionalFormatting sqref="A184">
    <cfRule type="duplicateValues" dxfId="70" priority="13"/>
  </conditionalFormatting>
  <conditionalFormatting sqref="A226">
    <cfRule type="duplicateValues" dxfId="69" priority="7"/>
  </conditionalFormatting>
  <conditionalFormatting sqref="A362">
    <cfRule type="duplicateValues" dxfId="68" priority="1"/>
  </conditionalFormatting>
  <conditionalFormatting sqref="A367">
    <cfRule type="duplicateValues" dxfId="67" priority="6"/>
  </conditionalFormatting>
  <conditionalFormatting sqref="A374">
    <cfRule type="duplicateValues" dxfId="66" priority="14"/>
  </conditionalFormatting>
  <conditionalFormatting sqref="A421">
    <cfRule type="duplicateValues" dxfId="65" priority="10"/>
  </conditionalFormatting>
  <conditionalFormatting sqref="A422">
    <cfRule type="duplicateValues" dxfId="64" priority="9"/>
  </conditionalFormatting>
  <conditionalFormatting sqref="A425:A434">
    <cfRule type="duplicateValues" dxfId="63" priority="50"/>
    <cfRule type="duplicateValues" dxfId="62" priority="51"/>
    <cfRule type="duplicateValues" dxfId="61" priority="52"/>
  </conditionalFormatting>
  <conditionalFormatting sqref="A480">
    <cfRule type="duplicateValues" dxfId="60" priority="27"/>
  </conditionalFormatting>
  <conditionalFormatting sqref="A481">
    <cfRule type="duplicateValues" dxfId="59" priority="26"/>
  </conditionalFormatting>
  <conditionalFormatting sqref="A561">
    <cfRule type="duplicateValues" dxfId="58" priority="19"/>
  </conditionalFormatting>
  <conditionalFormatting sqref="A562">
    <cfRule type="duplicateValues" dxfId="57" priority="18"/>
  </conditionalFormatting>
  <conditionalFormatting sqref="A579">
    <cfRule type="duplicateValues" dxfId="56" priority="23"/>
  </conditionalFormatting>
  <conditionalFormatting sqref="A580">
    <cfRule type="duplicateValues" dxfId="55" priority="22"/>
  </conditionalFormatting>
  <conditionalFormatting sqref="A581">
    <cfRule type="duplicateValues" dxfId="54" priority="24"/>
  </conditionalFormatting>
  <conditionalFormatting sqref="A657:A658">
    <cfRule type="duplicateValues" dxfId="53" priority="4"/>
  </conditionalFormatting>
  <conditionalFormatting sqref="A690">
    <cfRule type="duplicateValues" dxfId="52" priority="5"/>
  </conditionalFormatting>
  <conditionalFormatting sqref="A768:A770">
    <cfRule type="duplicateValues" dxfId="51" priority="42"/>
    <cfRule type="duplicateValues" dxfId="50" priority="43"/>
    <cfRule type="duplicateValues" dxfId="49" priority="44"/>
  </conditionalFormatting>
  <conditionalFormatting sqref="A775:A778">
    <cfRule type="duplicateValues" dxfId="48" priority="47"/>
  </conditionalFormatting>
  <conditionalFormatting sqref="A782:A783">
    <cfRule type="duplicateValues" dxfId="47" priority="46"/>
  </conditionalFormatting>
  <conditionalFormatting sqref="A793:A807">
    <cfRule type="duplicateValues" dxfId="46" priority="48"/>
  </conditionalFormatting>
  <conditionalFormatting sqref="A875:A876">
    <cfRule type="duplicateValues" dxfId="45" priority="31"/>
  </conditionalFormatting>
  <conditionalFormatting sqref="A1337:A1366">
    <cfRule type="duplicateValues" dxfId="44" priority="45"/>
  </conditionalFormatting>
  <conditionalFormatting sqref="A1400">
    <cfRule type="duplicateValues" dxfId="43" priority="11"/>
  </conditionalFormatting>
  <conditionalFormatting sqref="A1404">
    <cfRule type="duplicateValues" dxfId="42" priority="16"/>
  </conditionalFormatting>
  <conditionalFormatting sqref="A1515:A1516">
    <cfRule type="duplicateValues" dxfId="41" priority="8"/>
  </conditionalFormatting>
  <conditionalFormatting sqref="A1517:A1048576 A1424:A1514 B358:C358 A1:A45 A51:A151 A47 A563:A578 A200:A225 A482:A560 A185:A198 A158:A183 B1387 B442 B1411 A1405:A1422 A877:A1246 A1401:A1403 A423:A479 A227:A361 A368:A373 A691:A874 A582:A656 A659:A689 A375:A420 A363:A366 A1248:A1399">
    <cfRule type="duplicateValues" dxfId="40" priority="56"/>
  </conditionalFormatting>
  <conditionalFormatting sqref="A1523">
    <cfRule type="duplicateValues" dxfId="39" priority="34"/>
  </conditionalFormatting>
  <conditionalFormatting sqref="A1524">
    <cfRule type="duplicateValues" dxfId="38" priority="33"/>
  </conditionalFormatting>
  <conditionalFormatting sqref="A1537">
    <cfRule type="duplicateValues" dxfId="37" priority="41"/>
  </conditionalFormatting>
  <conditionalFormatting sqref="A1538:A1540">
    <cfRule type="duplicateValues" dxfId="36" priority="40"/>
  </conditionalFormatting>
  <conditionalFormatting sqref="A1541">
    <cfRule type="duplicateValues" dxfId="35" priority="39"/>
  </conditionalFormatting>
  <conditionalFormatting sqref="A1542">
    <cfRule type="duplicateValues" dxfId="34" priority="38"/>
  </conditionalFormatting>
  <conditionalFormatting sqref="A1543">
    <cfRule type="duplicateValues" dxfId="33" priority="37"/>
  </conditionalFormatting>
  <conditionalFormatting sqref="A1544:A1550">
    <cfRule type="duplicateValues" dxfId="32" priority="36"/>
  </conditionalFormatting>
  <conditionalFormatting sqref="A1557">
    <cfRule type="duplicateValues" dxfId="31" priority="35"/>
  </conditionalFormatting>
  <conditionalFormatting sqref="A199:B199">
    <cfRule type="duplicateValues" dxfId="30" priority="17"/>
  </conditionalFormatting>
  <conditionalFormatting sqref="B481">
    <cfRule type="duplicateValues" dxfId="29" priority="25"/>
  </conditionalFormatting>
  <conditionalFormatting sqref="B500">
    <cfRule type="duplicateValues" dxfId="28" priority="32"/>
  </conditionalFormatting>
  <conditionalFormatting sqref="B580">
    <cfRule type="duplicateValues" dxfId="27" priority="21"/>
  </conditionalFormatting>
  <conditionalFormatting sqref="B731">
    <cfRule type="duplicateValues" dxfId="26" priority="15"/>
  </conditionalFormatting>
  <conditionalFormatting sqref="B732">
    <cfRule type="duplicateValues" dxfId="25" priority="29"/>
  </conditionalFormatting>
  <conditionalFormatting sqref="B1244:B1245">
    <cfRule type="duplicateValues" dxfId="24" priority="12"/>
  </conditionalFormatting>
  <conditionalFormatting sqref="B1396">
    <cfRule type="duplicateValues" dxfId="23" priority="20"/>
  </conditionalFormatting>
  <conditionalFormatting sqref="B1591:B1595">
    <cfRule type="duplicateValues" dxfId="22" priority="3"/>
  </conditionalFormatting>
  <conditionalFormatting sqref="B1595">
    <cfRule type="duplicateValues" dxfId="21" priority="2"/>
  </conditionalFormatting>
  <conditionalFormatting sqref="E863:E1153">
    <cfRule type="duplicateValues" dxfId="20" priority="55"/>
  </conditionalFormatting>
  <conditionalFormatting sqref="E1035:E1153">
    <cfRule type="duplicateValues" dxfId="19" priority="30"/>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U398"/>
  <sheetViews>
    <sheetView workbookViewId="0">
      <selection activeCell="L34" sqref="L34"/>
    </sheetView>
  </sheetViews>
  <sheetFormatPr defaultRowHeight="12.75" x14ac:dyDescent="0.2"/>
  <cols>
    <col min="1" max="1" width="8.7109375" customWidth="1"/>
    <col min="2" max="2" width="7" customWidth="1"/>
    <col min="3" max="3" width="43.42578125" style="1197" customWidth="1"/>
    <col min="4" max="4" width="16.140625" style="1198" customWidth="1"/>
    <col min="5" max="5" width="16.5703125" style="1198" customWidth="1"/>
    <col min="6" max="6" width="16.7109375" style="1198" customWidth="1"/>
    <col min="7" max="7" width="16.5703125" style="1198" customWidth="1"/>
    <col min="8" max="8" width="15.42578125" bestFit="1" customWidth="1"/>
    <col min="9" max="9" width="12.7109375" bestFit="1" customWidth="1"/>
    <col min="10" max="10" width="12" bestFit="1" customWidth="1"/>
    <col min="11" max="11" width="9.5703125" bestFit="1" customWidth="1"/>
    <col min="12" max="12" width="13.5703125" customWidth="1"/>
    <col min="13" max="13" width="14.28515625" customWidth="1"/>
    <col min="15" max="15" width="12" bestFit="1" customWidth="1"/>
    <col min="16" max="16" width="7.7109375" bestFit="1" customWidth="1"/>
    <col min="17" max="17" width="15.42578125" style="1199" bestFit="1" customWidth="1"/>
    <col min="18" max="18" width="10.7109375" bestFit="1" customWidth="1"/>
  </cols>
  <sheetData>
    <row r="1" spans="1:10" x14ac:dyDescent="0.2">
      <c r="H1">
        <f>SUBTOTAL(9,H4:H1115)</f>
        <v>1610.5437228130002</v>
      </c>
      <c r="I1">
        <v>-1610.6977119399962</v>
      </c>
      <c r="J1">
        <f>+H1+I1</f>
        <v>-0.15398912699606626</v>
      </c>
    </row>
    <row r="2" spans="1:10" ht="15.75" x14ac:dyDescent="0.25">
      <c r="A2" s="1979" t="s">
        <v>1950</v>
      </c>
      <c r="B2" s="1980"/>
      <c r="C2" s="1980"/>
      <c r="D2" s="1980"/>
      <c r="E2" s="1981"/>
    </row>
    <row r="3" spans="1:10" ht="15.75" x14ac:dyDescent="0.2">
      <c r="A3" s="1200" t="str">
        <f>'[15]balance sheet P&amp;L'!B354</f>
        <v>Notes to the Financial Statements for the year ended 31st March, 2024</v>
      </c>
      <c r="B3" s="1201"/>
      <c r="C3" s="1202"/>
      <c r="D3" s="1203"/>
      <c r="E3" s="1204" t="s">
        <v>547</v>
      </c>
      <c r="H3" s="1205"/>
    </row>
    <row r="4" spans="1:10" ht="15" x14ac:dyDescent="0.25">
      <c r="A4" s="1206"/>
      <c r="B4" s="1207"/>
      <c r="C4" s="1208"/>
      <c r="D4" s="1982" t="str">
        <f>'[15]balance sheet P&amp;L'!D78</f>
        <v xml:space="preserve">2023-24 </v>
      </c>
      <c r="E4" s="1983"/>
      <c r="F4" s="1982" t="str">
        <f>+'[15]balance sheet P&amp;L'!E78</f>
        <v>2022-23 (RESTATED)</v>
      </c>
      <c r="G4" s="1983"/>
    </row>
    <row r="5" spans="1:10" x14ac:dyDescent="0.2">
      <c r="A5" s="1209" t="s">
        <v>819</v>
      </c>
      <c r="B5" s="1210" t="s">
        <v>378</v>
      </c>
      <c r="C5" s="1211" t="s">
        <v>6</v>
      </c>
      <c r="D5" s="1212"/>
      <c r="E5" s="1212"/>
      <c r="F5" s="1213"/>
      <c r="G5" s="1214"/>
    </row>
    <row r="6" spans="1:10" ht="15" x14ac:dyDescent="0.25">
      <c r="A6" s="1215"/>
      <c r="B6" s="1216">
        <v>22</v>
      </c>
      <c r="C6" s="1217" t="s">
        <v>1951</v>
      </c>
      <c r="D6" s="1214"/>
      <c r="E6" s="1214"/>
      <c r="F6" s="1213"/>
      <c r="G6" s="1214"/>
    </row>
    <row r="7" spans="1:10" ht="15" x14ac:dyDescent="0.25">
      <c r="A7" s="1209">
        <v>61310</v>
      </c>
      <c r="B7" s="1216"/>
      <c r="C7" s="1218" t="s">
        <v>1952</v>
      </c>
      <c r="D7" s="1214">
        <f>'[15]Input Sheet'!G1075</f>
        <v>12.209531287000001</v>
      </c>
      <c r="E7" s="1214"/>
      <c r="F7" s="1213">
        <v>9.8212269610000007</v>
      </c>
      <c r="G7" s="1214"/>
    </row>
    <row r="8" spans="1:10" ht="15" x14ac:dyDescent="0.25">
      <c r="A8" s="1209">
        <v>61311</v>
      </c>
      <c r="B8" s="1216"/>
      <c r="C8" s="1218" t="s">
        <v>1953</v>
      </c>
      <c r="D8" s="1214">
        <f>'[15]Input Sheet'!G1076</f>
        <v>0.48757859999999997</v>
      </c>
      <c r="E8" s="1214"/>
      <c r="F8" s="1213">
        <v>0.4452508</v>
      </c>
      <c r="G8" s="1214"/>
    </row>
    <row r="9" spans="1:10" ht="15" x14ac:dyDescent="0.25">
      <c r="A9" s="1209">
        <v>61312</v>
      </c>
      <c r="B9" s="1216"/>
      <c r="C9" s="1218" t="s">
        <v>1954</v>
      </c>
      <c r="D9" s="1214">
        <f>'[15]Input Sheet'!G1077</f>
        <v>4.8062928000000005E-2</v>
      </c>
      <c r="E9" s="1214"/>
      <c r="F9" s="1213">
        <v>0</v>
      </c>
      <c r="G9" s="1214"/>
    </row>
    <row r="10" spans="1:10" ht="15" x14ac:dyDescent="0.25">
      <c r="A10" s="1209">
        <v>61315</v>
      </c>
      <c r="B10" s="1216"/>
      <c r="C10" s="1218" t="s">
        <v>1955</v>
      </c>
      <c r="D10" s="1214">
        <f>'[15]Input Sheet'!G1078</f>
        <v>0</v>
      </c>
      <c r="E10" s="1214"/>
      <c r="F10" s="1213">
        <v>0</v>
      </c>
      <c r="G10" s="1214"/>
    </row>
    <row r="11" spans="1:10" ht="15" x14ac:dyDescent="0.25">
      <c r="A11" s="1209">
        <v>61316</v>
      </c>
      <c r="B11" s="1216"/>
      <c r="C11" s="1218" t="s">
        <v>1956</v>
      </c>
      <c r="D11" s="1214">
        <f>'[15]Input Sheet'!G1079</f>
        <v>0</v>
      </c>
      <c r="E11" s="1214"/>
      <c r="F11" s="1213">
        <v>0</v>
      </c>
      <c r="G11" s="1214"/>
    </row>
    <row r="12" spans="1:10" ht="15" x14ac:dyDescent="0.25">
      <c r="A12" s="1209">
        <v>61321</v>
      </c>
      <c r="B12" s="1216"/>
      <c r="C12" s="1218" t="s">
        <v>1957</v>
      </c>
      <c r="D12" s="1214">
        <f>'[15]Input Sheet'!G1080</f>
        <v>0</v>
      </c>
      <c r="E12" s="1214"/>
      <c r="F12" s="1213">
        <v>0</v>
      </c>
      <c r="G12" s="1214"/>
    </row>
    <row r="13" spans="1:10" ht="15" x14ac:dyDescent="0.25">
      <c r="A13" s="1209">
        <v>61331</v>
      </c>
      <c r="B13" s="1216"/>
      <c r="C13" s="1218" t="s">
        <v>1958</v>
      </c>
      <c r="D13" s="1214">
        <f>'[15]Input Sheet'!G1081</f>
        <v>7.8528269999999996</v>
      </c>
      <c r="E13" s="1214"/>
      <c r="F13" s="1213">
        <v>17.502466299999998</v>
      </c>
      <c r="G13" s="1214"/>
    </row>
    <row r="14" spans="1:10" ht="15" x14ac:dyDescent="0.25">
      <c r="A14" s="1209">
        <v>61332</v>
      </c>
      <c r="B14" s="1216"/>
      <c r="C14" s="1218" t="s">
        <v>1959</v>
      </c>
      <c r="D14" s="1219">
        <f>'[15]Input Sheet'!G1082</f>
        <v>0</v>
      </c>
      <c r="E14" s="1219"/>
      <c r="F14" s="1213">
        <v>17.3940473</v>
      </c>
      <c r="G14" s="1214"/>
    </row>
    <row r="15" spans="1:10" ht="15" x14ac:dyDescent="0.25">
      <c r="A15" s="1209">
        <v>61370</v>
      </c>
      <c r="B15" s="1216"/>
      <c r="C15" s="1218" t="s">
        <v>1960</v>
      </c>
      <c r="D15" s="1214">
        <f>'[15]Input Sheet'!G1083</f>
        <v>13.462818728999999</v>
      </c>
      <c r="E15" s="1214"/>
      <c r="F15" s="1213">
        <v>18.350638844999999</v>
      </c>
      <c r="G15" s="1214"/>
    </row>
    <row r="16" spans="1:10" ht="15" x14ac:dyDescent="0.25">
      <c r="A16" s="1209">
        <v>61351</v>
      </c>
      <c r="B16" s="1216"/>
      <c r="C16" s="1218" t="s">
        <v>1961</v>
      </c>
      <c r="D16" s="1214">
        <f>'[15]Input Sheet'!G1084</f>
        <v>89.090928074999994</v>
      </c>
      <c r="E16" s="1214"/>
      <c r="F16" s="1213">
        <v>58.323167092999995</v>
      </c>
      <c r="G16" s="1214"/>
    </row>
    <row r="17" spans="1:255" ht="16.5" customHeight="1" x14ac:dyDescent="0.25">
      <c r="A17" s="1209">
        <v>61410</v>
      </c>
      <c r="B17" s="1216"/>
      <c r="C17" s="1218" t="s">
        <v>688</v>
      </c>
      <c r="D17" s="1214">
        <f>'[15]Input Sheet'!G1085</f>
        <v>30387.529639090004</v>
      </c>
      <c r="E17" s="1214"/>
      <c r="F17" s="1213">
        <v>23864.699856742998</v>
      </c>
      <c r="G17" s="1214"/>
    </row>
    <row r="18" spans="1:255" ht="16.5" customHeight="1" x14ac:dyDescent="0.25">
      <c r="A18" s="1220">
        <v>61411</v>
      </c>
      <c r="B18" s="1216"/>
      <c r="C18" s="1218" t="s">
        <v>1962</v>
      </c>
      <c r="D18" s="1214">
        <f>'[15]Input Sheet'!G1086</f>
        <v>0</v>
      </c>
      <c r="E18" s="1214"/>
      <c r="F18" s="1213">
        <v>0</v>
      </c>
      <c r="G18" s="1214"/>
    </row>
    <row r="19" spans="1:255" ht="15" x14ac:dyDescent="0.25">
      <c r="A19" s="1209">
        <v>61412</v>
      </c>
      <c r="B19" s="1216"/>
      <c r="C19" s="1218" t="s">
        <v>1963</v>
      </c>
      <c r="D19" s="1214">
        <f>'[15]Input Sheet'!G1087</f>
        <v>-925.14309129899993</v>
      </c>
      <c r="E19" s="1214"/>
      <c r="F19" s="1213">
        <v>4782.3322485070003</v>
      </c>
      <c r="G19" s="1214"/>
    </row>
    <row r="20" spans="1:255" ht="15" x14ac:dyDescent="0.25">
      <c r="A20" s="1209">
        <f>'[15]Input Sheet'!D1088</f>
        <v>61413</v>
      </c>
      <c r="B20" s="1216"/>
      <c r="C20" s="1218" t="str">
        <f>'[15]Input Sheet'!E1088</f>
        <v>Compensation</v>
      </c>
      <c r="D20" s="1214">
        <f>'[15]Input Sheet'!G1088</f>
        <v>87.750972399999995</v>
      </c>
      <c r="E20" s="1214"/>
      <c r="F20" s="1213">
        <v>117.7187655</v>
      </c>
      <c r="G20" s="1214"/>
    </row>
    <row r="21" spans="1:255" ht="15" x14ac:dyDescent="0.25">
      <c r="A21" s="1209">
        <v>61417</v>
      </c>
      <c r="B21" s="1216"/>
      <c r="C21" s="1218" t="s">
        <v>1964</v>
      </c>
      <c r="D21" s="1214">
        <f>'[15]Input Sheet'!G1089</f>
        <v>5.7978500000000002E-2</v>
      </c>
      <c r="E21" s="1214"/>
      <c r="F21" s="1213">
        <v>1.2050905999999999</v>
      </c>
      <c r="G21" s="1214"/>
    </row>
    <row r="22" spans="1:255" ht="15" x14ac:dyDescent="0.25">
      <c r="A22" s="1209">
        <v>61501</v>
      </c>
      <c r="B22" s="1216"/>
      <c r="C22" s="1218" t="s">
        <v>1965</v>
      </c>
      <c r="D22" s="1214">
        <f>+'[15]Input Sheet'!G1091</f>
        <v>0</v>
      </c>
      <c r="E22" s="1214"/>
      <c r="F22" s="1213">
        <v>0</v>
      </c>
      <c r="G22" s="1214"/>
    </row>
    <row r="23" spans="1:255" ht="15" x14ac:dyDescent="0.25">
      <c r="A23" s="1215">
        <f>'[15]Input Sheet'!D1343</f>
        <v>79571</v>
      </c>
      <c r="B23" s="1216"/>
      <c r="C23" s="1221" t="str">
        <f>'[15]Input Sheet'!E1343</f>
        <v>Deviation Settlement Mechanism (DSM) Charges</v>
      </c>
      <c r="D23" s="1214">
        <f>IF('[15]Input Sheet'!G1343&gt;0,0,-'[15]Input Sheet'!G1343)</f>
        <v>0</v>
      </c>
      <c r="E23" s="1214"/>
      <c r="F23" s="1213">
        <v>0</v>
      </c>
      <c r="G23" s="1214"/>
    </row>
    <row r="24" spans="1:255" ht="15" x14ac:dyDescent="0.25">
      <c r="A24" s="1215"/>
      <c r="B24" s="1216"/>
      <c r="C24" s="882" t="s">
        <v>7</v>
      </c>
      <c r="D24" s="882">
        <f>SUM(D7:D23)</f>
        <v>29673.347245310008</v>
      </c>
      <c r="E24" s="882">
        <f>+D24</f>
        <v>29673.347245310008</v>
      </c>
      <c r="F24" s="882">
        <f>SUM(F7:F23)</f>
        <v>28887.792758649004</v>
      </c>
      <c r="G24" s="882">
        <f>+F24</f>
        <v>28887.792758649004</v>
      </c>
    </row>
    <row r="25" spans="1:255" ht="15" x14ac:dyDescent="0.25">
      <c r="A25" s="1215"/>
      <c r="B25" s="1216"/>
      <c r="C25" s="1222"/>
      <c r="D25" s="1223"/>
      <c r="E25" s="1223"/>
      <c r="F25" s="1213"/>
      <c r="G25" s="1214"/>
    </row>
    <row r="26" spans="1:255" ht="15" x14ac:dyDescent="0.25">
      <c r="A26" s="1215"/>
      <c r="B26" s="1216">
        <v>23</v>
      </c>
      <c r="C26" s="1217" t="s">
        <v>690</v>
      </c>
      <c r="D26" s="1214"/>
      <c r="E26" s="1214"/>
      <c r="F26" s="1213"/>
      <c r="G26" s="1214"/>
    </row>
    <row r="27" spans="1:255" ht="15" x14ac:dyDescent="0.25">
      <c r="A27" s="1215"/>
      <c r="B27" s="1216"/>
      <c r="C27" s="1218"/>
      <c r="D27" s="1214"/>
      <c r="E27" s="1214"/>
      <c r="F27" s="1213"/>
      <c r="G27" s="1214"/>
    </row>
    <row r="28" spans="1:255" ht="15" x14ac:dyDescent="0.25">
      <c r="A28" s="1209">
        <v>62352</v>
      </c>
      <c r="B28" s="1216"/>
      <c r="C28" s="1218" t="s">
        <v>691</v>
      </c>
      <c r="D28" s="1214"/>
      <c r="E28" s="1214">
        <f>'[15]Input Sheet'!G1109</f>
        <v>184.70916178499999</v>
      </c>
      <c r="F28" s="1213"/>
      <c r="G28" s="1214">
        <v>117.87754211099998</v>
      </c>
    </row>
    <row r="29" spans="1:255" ht="15" x14ac:dyDescent="0.25">
      <c r="A29" s="1209">
        <v>62401</v>
      </c>
      <c r="B29" s="1216"/>
      <c r="C29" s="1218" t="s">
        <v>692</v>
      </c>
      <c r="D29" s="1214"/>
      <c r="E29" s="1214">
        <f>'[15]Input Sheet'!G1110</f>
        <v>218.563669616</v>
      </c>
      <c r="F29" s="1213"/>
      <c r="G29" s="1214">
        <v>116.40306378199999</v>
      </c>
    </row>
    <row r="30" spans="1:255" ht="15" x14ac:dyDescent="0.25">
      <c r="A30" s="1209"/>
      <c r="B30" s="1216"/>
      <c r="C30" s="1218"/>
      <c r="D30" s="1214"/>
      <c r="E30" s="1214"/>
      <c r="F30" s="1213"/>
      <c r="G30" s="1214"/>
    </row>
    <row r="31" spans="1:255" ht="15" x14ac:dyDescent="0.25">
      <c r="A31" s="1215"/>
      <c r="B31" s="1216"/>
      <c r="C31" s="1224" t="s">
        <v>1966</v>
      </c>
      <c r="D31" s="1214"/>
      <c r="E31" s="1214">
        <f>SUM(D32:D35)</f>
        <v>0</v>
      </c>
      <c r="F31" s="1213"/>
      <c r="G31" s="1214">
        <f>SUM(F32:F35)</f>
        <v>0</v>
      </c>
    </row>
    <row r="32" spans="1:255" x14ac:dyDescent="0.2">
      <c r="A32" s="1209">
        <v>62341</v>
      </c>
      <c r="B32" s="1225"/>
      <c r="C32" s="1226" t="s">
        <v>1967</v>
      </c>
      <c r="D32" s="1214">
        <f>'[15]Input Sheet'!G1105</f>
        <v>0</v>
      </c>
      <c r="E32" s="1214"/>
      <c r="F32" s="1227">
        <v>0</v>
      </c>
      <c r="G32" s="1228"/>
      <c r="H32" s="1229"/>
      <c r="I32" s="1229"/>
      <c r="J32" s="1229"/>
      <c r="K32" s="1229"/>
      <c r="L32" s="1229"/>
      <c r="M32" s="1229"/>
      <c r="N32" s="1229"/>
      <c r="O32" s="1229"/>
      <c r="P32" s="1229"/>
      <c r="Q32" s="1116"/>
      <c r="R32" s="1229"/>
      <c r="S32" s="1229"/>
      <c r="T32" s="1229"/>
      <c r="U32" s="1229"/>
      <c r="V32" s="1229"/>
      <c r="W32" s="1229"/>
      <c r="X32" s="1229"/>
      <c r="Y32" s="1229"/>
      <c r="Z32" s="1229"/>
      <c r="AA32" s="1229"/>
      <c r="AB32" s="1229"/>
      <c r="AC32" s="1229"/>
      <c r="AD32" s="1229"/>
      <c r="AE32" s="1229"/>
      <c r="AF32" s="1229"/>
      <c r="AG32" s="1229"/>
      <c r="AH32" s="1229"/>
      <c r="AI32" s="1229"/>
      <c r="AJ32" s="1229"/>
      <c r="AK32" s="1229"/>
      <c r="AL32" s="1229"/>
      <c r="AM32" s="1229"/>
      <c r="AN32" s="1229"/>
      <c r="AO32" s="1229"/>
      <c r="AP32" s="1229"/>
      <c r="AQ32" s="1229"/>
      <c r="AR32" s="1229"/>
      <c r="AS32" s="1229"/>
      <c r="AT32" s="1229"/>
      <c r="AU32" s="1229"/>
      <c r="AV32" s="1229"/>
      <c r="AW32" s="1229"/>
      <c r="AX32" s="1229"/>
      <c r="AY32" s="1229"/>
      <c r="AZ32" s="1229"/>
      <c r="BA32" s="1229"/>
      <c r="BB32" s="1229"/>
      <c r="BC32" s="1229"/>
      <c r="BD32" s="1229"/>
      <c r="BE32" s="1229"/>
      <c r="BF32" s="1229"/>
      <c r="BG32" s="1229"/>
      <c r="BH32" s="1229"/>
      <c r="BI32" s="1229"/>
      <c r="BJ32" s="1229"/>
      <c r="BK32" s="1229"/>
      <c r="BL32" s="1229"/>
      <c r="BM32" s="1229"/>
      <c r="BN32" s="1229"/>
      <c r="BO32" s="1229"/>
      <c r="BP32" s="1229"/>
      <c r="BQ32" s="1229"/>
      <c r="BR32" s="1229"/>
      <c r="BS32" s="1229"/>
      <c r="BT32" s="1229"/>
      <c r="BU32" s="1229"/>
      <c r="BV32" s="1229"/>
      <c r="BW32" s="1229"/>
      <c r="BX32" s="1229"/>
      <c r="BY32" s="1229"/>
      <c r="BZ32" s="1229"/>
      <c r="CA32" s="1229"/>
      <c r="CB32" s="1229"/>
      <c r="CC32" s="1229"/>
      <c r="CD32" s="1229"/>
      <c r="CE32" s="1229"/>
      <c r="CF32" s="1229"/>
      <c r="CG32" s="1229"/>
      <c r="CH32" s="1229"/>
      <c r="CI32" s="1229"/>
      <c r="CJ32" s="1229"/>
      <c r="CK32" s="1229"/>
      <c r="CL32" s="1229"/>
      <c r="CM32" s="1229"/>
      <c r="CN32" s="1229"/>
      <c r="CO32" s="1229"/>
      <c r="CP32" s="1229"/>
      <c r="CQ32" s="1229"/>
      <c r="CR32" s="1229"/>
      <c r="CS32" s="1229"/>
      <c r="CT32" s="1229"/>
      <c r="CU32" s="1229"/>
      <c r="CV32" s="1229"/>
      <c r="CW32" s="1229"/>
      <c r="CX32" s="1229"/>
      <c r="CY32" s="1229"/>
      <c r="CZ32" s="1229"/>
      <c r="DA32" s="1229"/>
      <c r="DB32" s="1229"/>
      <c r="DC32" s="1229"/>
      <c r="DD32" s="1229"/>
      <c r="DE32" s="1229"/>
      <c r="DF32" s="1229"/>
      <c r="DG32" s="1229"/>
      <c r="DH32" s="1229"/>
      <c r="DI32" s="1229"/>
      <c r="DJ32" s="1229"/>
      <c r="DK32" s="1229"/>
      <c r="DL32" s="1229"/>
      <c r="DM32" s="1229"/>
      <c r="DN32" s="1229"/>
      <c r="DO32" s="1229"/>
      <c r="DP32" s="1229"/>
      <c r="DQ32" s="1229"/>
      <c r="DR32" s="1229"/>
      <c r="DS32" s="1229"/>
      <c r="DT32" s="1229"/>
      <c r="DU32" s="1229"/>
      <c r="DV32" s="1229"/>
      <c r="DW32" s="1229"/>
      <c r="DX32" s="1229"/>
      <c r="DY32" s="1229"/>
      <c r="DZ32" s="1229"/>
      <c r="EA32" s="1229"/>
      <c r="EB32" s="1229"/>
      <c r="EC32" s="1229"/>
      <c r="ED32" s="1229"/>
      <c r="EE32" s="1229"/>
      <c r="EF32" s="1229"/>
      <c r="EG32" s="1229"/>
      <c r="EH32" s="1229"/>
      <c r="EI32" s="1229"/>
      <c r="EJ32" s="1229"/>
      <c r="EK32" s="1229"/>
      <c r="EL32" s="1229"/>
      <c r="EM32" s="1229"/>
      <c r="EN32" s="1229"/>
      <c r="EO32" s="1229"/>
      <c r="EP32" s="1229"/>
      <c r="EQ32" s="1229"/>
      <c r="ER32" s="1229"/>
      <c r="ES32" s="1229"/>
      <c r="ET32" s="1229"/>
      <c r="EU32" s="1229"/>
      <c r="EV32" s="1229"/>
      <c r="EW32" s="1229"/>
      <c r="EX32" s="1229"/>
      <c r="EY32" s="1229"/>
      <c r="EZ32" s="1229"/>
      <c r="FA32" s="1229"/>
      <c r="FB32" s="1229"/>
      <c r="FC32" s="1229"/>
      <c r="FD32" s="1229"/>
      <c r="FE32" s="1229"/>
      <c r="FF32" s="1229"/>
      <c r="FG32" s="1229"/>
      <c r="FH32" s="1229"/>
      <c r="FI32" s="1229"/>
      <c r="FJ32" s="1229"/>
      <c r="FK32" s="1229"/>
      <c r="FL32" s="1229"/>
      <c r="FM32" s="1229"/>
      <c r="FN32" s="1229"/>
      <c r="FO32" s="1229"/>
      <c r="FP32" s="1229"/>
      <c r="FQ32" s="1229"/>
      <c r="FR32" s="1229"/>
      <c r="FS32" s="1229"/>
      <c r="FT32" s="1229"/>
      <c r="FU32" s="1229"/>
      <c r="FV32" s="1229"/>
      <c r="FW32" s="1229"/>
      <c r="FX32" s="1229"/>
      <c r="FY32" s="1229"/>
      <c r="FZ32" s="1229"/>
      <c r="GA32" s="1229"/>
      <c r="GB32" s="1229"/>
      <c r="GC32" s="1229"/>
      <c r="GD32" s="1229"/>
      <c r="GE32" s="1229"/>
      <c r="GF32" s="1229"/>
      <c r="GG32" s="1229"/>
      <c r="GH32" s="1229"/>
      <c r="GI32" s="1229"/>
      <c r="GJ32" s="1229"/>
      <c r="GK32" s="1229"/>
      <c r="GL32" s="1229"/>
      <c r="GM32" s="1229"/>
      <c r="GN32" s="1229"/>
      <c r="GO32" s="1229"/>
      <c r="GP32" s="1229"/>
      <c r="GQ32" s="1229"/>
      <c r="GR32" s="1229"/>
      <c r="GS32" s="1229"/>
      <c r="GT32" s="1229"/>
      <c r="GU32" s="1229"/>
      <c r="GV32" s="1229"/>
      <c r="GW32" s="1229"/>
      <c r="GX32" s="1229"/>
      <c r="GY32" s="1229"/>
      <c r="GZ32" s="1229"/>
      <c r="HA32" s="1229"/>
      <c r="HB32" s="1229"/>
      <c r="HC32" s="1229"/>
      <c r="HD32" s="1229"/>
      <c r="HE32" s="1229"/>
      <c r="HF32" s="1229"/>
      <c r="HG32" s="1229"/>
      <c r="HH32" s="1229"/>
      <c r="HI32" s="1229"/>
      <c r="HJ32" s="1229"/>
      <c r="HK32" s="1229"/>
      <c r="HL32" s="1229"/>
      <c r="HM32" s="1229"/>
      <c r="HN32" s="1229"/>
      <c r="HO32" s="1229"/>
      <c r="HP32" s="1229"/>
      <c r="HQ32" s="1229"/>
      <c r="HR32" s="1229"/>
      <c r="HS32" s="1229"/>
      <c r="HT32" s="1229"/>
      <c r="HU32" s="1229"/>
      <c r="HV32" s="1229"/>
      <c r="HW32" s="1229"/>
      <c r="HX32" s="1229"/>
      <c r="HY32" s="1229"/>
      <c r="HZ32" s="1229"/>
      <c r="IA32" s="1229"/>
      <c r="IB32" s="1229"/>
      <c r="IC32" s="1229"/>
      <c r="ID32" s="1229"/>
      <c r="IE32" s="1229"/>
      <c r="IF32" s="1229"/>
      <c r="IG32" s="1229"/>
      <c r="IH32" s="1229"/>
      <c r="II32" s="1229"/>
      <c r="IJ32" s="1229"/>
      <c r="IK32" s="1229"/>
      <c r="IL32" s="1229"/>
      <c r="IM32" s="1229"/>
      <c r="IN32" s="1229"/>
      <c r="IO32" s="1229"/>
      <c r="IP32" s="1229"/>
      <c r="IQ32" s="1229"/>
      <c r="IR32" s="1229"/>
      <c r="IS32" s="1229"/>
      <c r="IT32" s="1229"/>
      <c r="IU32" s="1229"/>
    </row>
    <row r="33" spans="1:255" x14ac:dyDescent="0.2">
      <c r="A33" s="1209">
        <v>62342</v>
      </c>
      <c r="B33" s="1225"/>
      <c r="C33" s="1226" t="s">
        <v>1968</v>
      </c>
      <c r="D33" s="1214">
        <f>'[15]Input Sheet'!G1106</f>
        <v>0</v>
      </c>
      <c r="E33" s="1214"/>
      <c r="F33" s="1227">
        <v>0</v>
      </c>
      <c r="G33" s="1228"/>
      <c r="H33" s="1229"/>
      <c r="I33" s="1229"/>
      <c r="J33" s="1229"/>
      <c r="K33" s="1229"/>
      <c r="L33" s="1229"/>
      <c r="M33" s="1229"/>
      <c r="N33" s="1229"/>
      <c r="O33" s="1229"/>
      <c r="P33" s="1229"/>
      <c r="Q33" s="1116"/>
      <c r="R33" s="1229"/>
      <c r="S33" s="1229"/>
      <c r="T33" s="1229"/>
      <c r="U33" s="1229"/>
      <c r="V33" s="1229"/>
      <c r="W33" s="1229"/>
      <c r="X33" s="1229"/>
      <c r="Y33" s="1229"/>
      <c r="Z33" s="1229"/>
      <c r="AA33" s="1229"/>
      <c r="AB33" s="1229"/>
      <c r="AC33" s="1229"/>
      <c r="AD33" s="1229"/>
      <c r="AE33" s="1229"/>
      <c r="AF33" s="1229"/>
      <c r="AG33" s="1229"/>
      <c r="AH33" s="1229"/>
      <c r="AI33" s="1229"/>
      <c r="AJ33" s="1229"/>
      <c r="AK33" s="1229"/>
      <c r="AL33" s="1229"/>
      <c r="AM33" s="1229"/>
      <c r="AN33" s="1229"/>
      <c r="AO33" s="1229"/>
      <c r="AP33" s="1229"/>
      <c r="AQ33" s="1229"/>
      <c r="AR33" s="1229"/>
      <c r="AS33" s="1229"/>
      <c r="AT33" s="1229"/>
      <c r="AU33" s="1229"/>
      <c r="AV33" s="1229"/>
      <c r="AW33" s="1229"/>
      <c r="AX33" s="1229"/>
      <c r="AY33" s="1229"/>
      <c r="AZ33" s="1229"/>
      <c r="BA33" s="1229"/>
      <c r="BB33" s="1229"/>
      <c r="BC33" s="1229"/>
      <c r="BD33" s="1229"/>
      <c r="BE33" s="1229"/>
      <c r="BF33" s="1229"/>
      <c r="BG33" s="1229"/>
      <c r="BH33" s="1229"/>
      <c r="BI33" s="1229"/>
      <c r="BJ33" s="1229"/>
      <c r="BK33" s="1229"/>
      <c r="BL33" s="1229"/>
      <c r="BM33" s="1229"/>
      <c r="BN33" s="1229"/>
      <c r="BO33" s="1229"/>
      <c r="BP33" s="1229"/>
      <c r="BQ33" s="1229"/>
      <c r="BR33" s="1229"/>
      <c r="BS33" s="1229"/>
      <c r="BT33" s="1229"/>
      <c r="BU33" s="1229"/>
      <c r="BV33" s="1229"/>
      <c r="BW33" s="1229"/>
      <c r="BX33" s="1229"/>
      <c r="BY33" s="1229"/>
      <c r="BZ33" s="1229"/>
      <c r="CA33" s="1229"/>
      <c r="CB33" s="1229"/>
      <c r="CC33" s="1229"/>
      <c r="CD33" s="1229"/>
      <c r="CE33" s="1229"/>
      <c r="CF33" s="1229"/>
      <c r="CG33" s="1229"/>
      <c r="CH33" s="1229"/>
      <c r="CI33" s="1229"/>
      <c r="CJ33" s="1229"/>
      <c r="CK33" s="1229"/>
      <c r="CL33" s="1229"/>
      <c r="CM33" s="1229"/>
      <c r="CN33" s="1229"/>
      <c r="CO33" s="1229"/>
      <c r="CP33" s="1229"/>
      <c r="CQ33" s="1229"/>
      <c r="CR33" s="1229"/>
      <c r="CS33" s="1229"/>
      <c r="CT33" s="1229"/>
      <c r="CU33" s="1229"/>
      <c r="CV33" s="1229"/>
      <c r="CW33" s="1229"/>
      <c r="CX33" s="1229"/>
      <c r="CY33" s="1229"/>
      <c r="CZ33" s="1229"/>
      <c r="DA33" s="1229"/>
      <c r="DB33" s="1229"/>
      <c r="DC33" s="1229"/>
      <c r="DD33" s="1229"/>
      <c r="DE33" s="1229"/>
      <c r="DF33" s="1229"/>
      <c r="DG33" s="1229"/>
      <c r="DH33" s="1229"/>
      <c r="DI33" s="1229"/>
      <c r="DJ33" s="1229"/>
      <c r="DK33" s="1229"/>
      <c r="DL33" s="1229"/>
      <c r="DM33" s="1229"/>
      <c r="DN33" s="1229"/>
      <c r="DO33" s="1229"/>
      <c r="DP33" s="1229"/>
      <c r="DQ33" s="1229"/>
      <c r="DR33" s="1229"/>
      <c r="DS33" s="1229"/>
      <c r="DT33" s="1229"/>
      <c r="DU33" s="1229"/>
      <c r="DV33" s="1229"/>
      <c r="DW33" s="1229"/>
      <c r="DX33" s="1229"/>
      <c r="DY33" s="1229"/>
      <c r="DZ33" s="1229"/>
      <c r="EA33" s="1229"/>
      <c r="EB33" s="1229"/>
      <c r="EC33" s="1229"/>
      <c r="ED33" s="1229"/>
      <c r="EE33" s="1229"/>
      <c r="EF33" s="1229"/>
      <c r="EG33" s="1229"/>
      <c r="EH33" s="1229"/>
      <c r="EI33" s="1229"/>
      <c r="EJ33" s="1229"/>
      <c r="EK33" s="1229"/>
      <c r="EL33" s="1229"/>
      <c r="EM33" s="1229"/>
      <c r="EN33" s="1229"/>
      <c r="EO33" s="1229"/>
      <c r="EP33" s="1229"/>
      <c r="EQ33" s="1229"/>
      <c r="ER33" s="1229"/>
      <c r="ES33" s="1229"/>
      <c r="ET33" s="1229"/>
      <c r="EU33" s="1229"/>
      <c r="EV33" s="1229"/>
      <c r="EW33" s="1229"/>
      <c r="EX33" s="1229"/>
      <c r="EY33" s="1229"/>
      <c r="EZ33" s="1229"/>
      <c r="FA33" s="1229"/>
      <c r="FB33" s="1229"/>
      <c r="FC33" s="1229"/>
      <c r="FD33" s="1229"/>
      <c r="FE33" s="1229"/>
      <c r="FF33" s="1229"/>
      <c r="FG33" s="1229"/>
      <c r="FH33" s="1229"/>
      <c r="FI33" s="1229"/>
      <c r="FJ33" s="1229"/>
      <c r="FK33" s="1229"/>
      <c r="FL33" s="1229"/>
      <c r="FM33" s="1229"/>
      <c r="FN33" s="1229"/>
      <c r="FO33" s="1229"/>
      <c r="FP33" s="1229"/>
      <c r="FQ33" s="1229"/>
      <c r="FR33" s="1229"/>
      <c r="FS33" s="1229"/>
      <c r="FT33" s="1229"/>
      <c r="FU33" s="1229"/>
      <c r="FV33" s="1229"/>
      <c r="FW33" s="1229"/>
      <c r="FX33" s="1229"/>
      <c r="FY33" s="1229"/>
      <c r="FZ33" s="1229"/>
      <c r="GA33" s="1229"/>
      <c r="GB33" s="1229"/>
      <c r="GC33" s="1229"/>
      <c r="GD33" s="1229"/>
      <c r="GE33" s="1229"/>
      <c r="GF33" s="1229"/>
      <c r="GG33" s="1229"/>
      <c r="GH33" s="1229"/>
      <c r="GI33" s="1229"/>
      <c r="GJ33" s="1229"/>
      <c r="GK33" s="1229"/>
      <c r="GL33" s="1229"/>
      <c r="GM33" s="1229"/>
      <c r="GN33" s="1229"/>
      <c r="GO33" s="1229"/>
      <c r="GP33" s="1229"/>
      <c r="GQ33" s="1229"/>
      <c r="GR33" s="1229"/>
      <c r="GS33" s="1229"/>
      <c r="GT33" s="1229"/>
      <c r="GU33" s="1229"/>
      <c r="GV33" s="1229"/>
      <c r="GW33" s="1229"/>
      <c r="GX33" s="1229"/>
      <c r="GY33" s="1229"/>
      <c r="GZ33" s="1229"/>
      <c r="HA33" s="1229"/>
      <c r="HB33" s="1229"/>
      <c r="HC33" s="1229"/>
      <c r="HD33" s="1229"/>
      <c r="HE33" s="1229"/>
      <c r="HF33" s="1229"/>
      <c r="HG33" s="1229"/>
      <c r="HH33" s="1229"/>
      <c r="HI33" s="1229"/>
      <c r="HJ33" s="1229"/>
      <c r="HK33" s="1229"/>
      <c r="HL33" s="1229"/>
      <c r="HM33" s="1229"/>
      <c r="HN33" s="1229"/>
      <c r="HO33" s="1229"/>
      <c r="HP33" s="1229"/>
      <c r="HQ33" s="1229"/>
      <c r="HR33" s="1229"/>
      <c r="HS33" s="1229"/>
      <c r="HT33" s="1229"/>
      <c r="HU33" s="1229"/>
      <c r="HV33" s="1229"/>
      <c r="HW33" s="1229"/>
      <c r="HX33" s="1229"/>
      <c r="HY33" s="1229"/>
      <c r="HZ33" s="1229"/>
      <c r="IA33" s="1229"/>
      <c r="IB33" s="1229"/>
      <c r="IC33" s="1229"/>
      <c r="ID33" s="1229"/>
      <c r="IE33" s="1229"/>
      <c r="IF33" s="1229"/>
      <c r="IG33" s="1229"/>
      <c r="IH33" s="1229"/>
      <c r="II33" s="1229"/>
      <c r="IJ33" s="1229"/>
      <c r="IK33" s="1229"/>
      <c r="IL33" s="1229"/>
      <c r="IM33" s="1229"/>
      <c r="IN33" s="1229"/>
      <c r="IO33" s="1229"/>
      <c r="IP33" s="1229"/>
      <c r="IQ33" s="1229"/>
      <c r="IR33" s="1229"/>
      <c r="IS33" s="1229"/>
      <c r="IT33" s="1229"/>
      <c r="IU33" s="1229"/>
    </row>
    <row r="34" spans="1:255" x14ac:dyDescent="0.2">
      <c r="A34" s="1209">
        <v>62343</v>
      </c>
      <c r="B34" s="1225"/>
      <c r="C34" s="1226" t="s">
        <v>1969</v>
      </c>
      <c r="D34" s="1214">
        <f>'[15]Input Sheet'!G1107</f>
        <v>0</v>
      </c>
      <c r="E34" s="1214"/>
      <c r="F34" s="1227">
        <v>0</v>
      </c>
      <c r="G34" s="1228"/>
      <c r="H34" s="1229"/>
      <c r="I34" s="1229"/>
      <c r="J34" s="1229"/>
      <c r="K34" s="1229"/>
      <c r="L34" s="1229"/>
      <c r="M34" s="1229"/>
      <c r="N34" s="1229"/>
      <c r="O34" s="1229"/>
      <c r="P34" s="1229"/>
      <c r="Q34" s="1116"/>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c r="AP34" s="1229"/>
      <c r="AQ34" s="1229"/>
      <c r="AR34" s="1229"/>
      <c r="AS34" s="1229"/>
      <c r="AT34" s="1229"/>
      <c r="AU34" s="1229"/>
      <c r="AV34" s="1229"/>
      <c r="AW34" s="1229"/>
      <c r="AX34" s="1229"/>
      <c r="AY34" s="1229"/>
      <c r="AZ34" s="1229"/>
      <c r="BA34" s="1229"/>
      <c r="BB34" s="1229"/>
      <c r="BC34" s="1229"/>
      <c r="BD34" s="1229"/>
      <c r="BE34" s="1229"/>
      <c r="BF34" s="1229"/>
      <c r="BG34" s="1229"/>
      <c r="BH34" s="1229"/>
      <c r="BI34" s="1229"/>
      <c r="BJ34" s="1229"/>
      <c r="BK34" s="1229"/>
      <c r="BL34" s="1229"/>
      <c r="BM34" s="1229"/>
      <c r="BN34" s="1229"/>
      <c r="BO34" s="1229"/>
      <c r="BP34" s="1229"/>
      <c r="BQ34" s="1229"/>
      <c r="BR34" s="1229"/>
      <c r="BS34" s="1229"/>
      <c r="BT34" s="1229"/>
      <c r="BU34" s="1229"/>
      <c r="BV34" s="1229"/>
      <c r="BW34" s="1229"/>
      <c r="BX34" s="1229"/>
      <c r="BY34" s="1229"/>
      <c r="BZ34" s="1229"/>
      <c r="CA34" s="1229"/>
      <c r="CB34" s="1229"/>
      <c r="CC34" s="1229"/>
      <c r="CD34" s="1229"/>
      <c r="CE34" s="1229"/>
      <c r="CF34" s="1229"/>
      <c r="CG34" s="1229"/>
      <c r="CH34" s="1229"/>
      <c r="CI34" s="1229"/>
      <c r="CJ34" s="1229"/>
      <c r="CK34" s="1229"/>
      <c r="CL34" s="1229"/>
      <c r="CM34" s="1229"/>
      <c r="CN34" s="1229"/>
      <c r="CO34" s="1229"/>
      <c r="CP34" s="1229"/>
      <c r="CQ34" s="1229"/>
      <c r="CR34" s="1229"/>
      <c r="CS34" s="1229"/>
      <c r="CT34" s="1229"/>
      <c r="CU34" s="1229"/>
      <c r="CV34" s="1229"/>
      <c r="CW34" s="1229"/>
      <c r="CX34" s="1229"/>
      <c r="CY34" s="1229"/>
      <c r="CZ34" s="1229"/>
      <c r="DA34" s="1229"/>
      <c r="DB34" s="1229"/>
      <c r="DC34" s="1229"/>
      <c r="DD34" s="1229"/>
      <c r="DE34" s="1229"/>
      <c r="DF34" s="1229"/>
      <c r="DG34" s="1229"/>
      <c r="DH34" s="1229"/>
      <c r="DI34" s="1229"/>
      <c r="DJ34" s="1229"/>
      <c r="DK34" s="1229"/>
      <c r="DL34" s="1229"/>
      <c r="DM34" s="1229"/>
      <c r="DN34" s="1229"/>
      <c r="DO34" s="1229"/>
      <c r="DP34" s="1229"/>
      <c r="DQ34" s="1229"/>
      <c r="DR34" s="1229"/>
      <c r="DS34" s="1229"/>
      <c r="DT34" s="1229"/>
      <c r="DU34" s="1229"/>
      <c r="DV34" s="1229"/>
      <c r="DW34" s="1229"/>
      <c r="DX34" s="1229"/>
      <c r="DY34" s="1229"/>
      <c r="DZ34" s="1229"/>
      <c r="EA34" s="1229"/>
      <c r="EB34" s="1229"/>
      <c r="EC34" s="1229"/>
      <c r="ED34" s="1229"/>
      <c r="EE34" s="1229"/>
      <c r="EF34" s="1229"/>
      <c r="EG34" s="1229"/>
      <c r="EH34" s="1229"/>
      <c r="EI34" s="1229"/>
      <c r="EJ34" s="1229"/>
      <c r="EK34" s="1229"/>
      <c r="EL34" s="1229"/>
      <c r="EM34" s="1229"/>
      <c r="EN34" s="1229"/>
      <c r="EO34" s="1229"/>
      <c r="EP34" s="1229"/>
      <c r="EQ34" s="1229"/>
      <c r="ER34" s="1229"/>
      <c r="ES34" s="1229"/>
      <c r="ET34" s="1229"/>
      <c r="EU34" s="1229"/>
      <c r="EV34" s="1229"/>
      <c r="EW34" s="1229"/>
      <c r="EX34" s="1229"/>
      <c r="EY34" s="1229"/>
      <c r="EZ34" s="1229"/>
      <c r="FA34" s="1229"/>
      <c r="FB34" s="1229"/>
      <c r="FC34" s="1229"/>
      <c r="FD34" s="1229"/>
      <c r="FE34" s="1229"/>
      <c r="FF34" s="1229"/>
      <c r="FG34" s="1229"/>
      <c r="FH34" s="1229"/>
      <c r="FI34" s="1229"/>
      <c r="FJ34" s="1229"/>
      <c r="FK34" s="1229"/>
      <c r="FL34" s="1229"/>
      <c r="FM34" s="1229"/>
      <c r="FN34" s="1229"/>
      <c r="FO34" s="1229"/>
      <c r="FP34" s="1229"/>
      <c r="FQ34" s="1229"/>
      <c r="FR34" s="1229"/>
      <c r="FS34" s="1229"/>
      <c r="FT34" s="1229"/>
      <c r="FU34" s="1229"/>
      <c r="FV34" s="1229"/>
      <c r="FW34" s="1229"/>
      <c r="FX34" s="1229"/>
      <c r="FY34" s="1229"/>
      <c r="FZ34" s="1229"/>
      <c r="GA34" s="1229"/>
      <c r="GB34" s="1229"/>
      <c r="GC34" s="1229"/>
      <c r="GD34" s="1229"/>
      <c r="GE34" s="1229"/>
      <c r="GF34" s="1229"/>
      <c r="GG34" s="1229"/>
      <c r="GH34" s="1229"/>
      <c r="GI34" s="1229"/>
      <c r="GJ34" s="1229"/>
      <c r="GK34" s="1229"/>
      <c r="GL34" s="1229"/>
      <c r="GM34" s="1229"/>
      <c r="GN34" s="1229"/>
      <c r="GO34" s="1229"/>
      <c r="GP34" s="1229"/>
      <c r="GQ34" s="1229"/>
      <c r="GR34" s="1229"/>
      <c r="GS34" s="1229"/>
      <c r="GT34" s="1229"/>
      <c r="GU34" s="1229"/>
      <c r="GV34" s="1229"/>
      <c r="GW34" s="1229"/>
      <c r="GX34" s="1229"/>
      <c r="GY34" s="1229"/>
      <c r="GZ34" s="1229"/>
      <c r="HA34" s="1229"/>
      <c r="HB34" s="1229"/>
      <c r="HC34" s="1229"/>
      <c r="HD34" s="1229"/>
      <c r="HE34" s="1229"/>
      <c r="HF34" s="1229"/>
      <c r="HG34" s="1229"/>
      <c r="HH34" s="1229"/>
      <c r="HI34" s="1229"/>
      <c r="HJ34" s="1229"/>
      <c r="HK34" s="1229"/>
      <c r="HL34" s="1229"/>
      <c r="HM34" s="1229"/>
      <c r="HN34" s="1229"/>
      <c r="HO34" s="1229"/>
      <c r="HP34" s="1229"/>
      <c r="HQ34" s="1229"/>
      <c r="HR34" s="1229"/>
      <c r="HS34" s="1229"/>
      <c r="HT34" s="1229"/>
      <c r="HU34" s="1229"/>
      <c r="HV34" s="1229"/>
      <c r="HW34" s="1229"/>
      <c r="HX34" s="1229"/>
      <c r="HY34" s="1229"/>
      <c r="HZ34" s="1229"/>
      <c r="IA34" s="1229"/>
      <c r="IB34" s="1229"/>
      <c r="IC34" s="1229"/>
      <c r="ID34" s="1229"/>
      <c r="IE34" s="1229"/>
      <c r="IF34" s="1229"/>
      <c r="IG34" s="1229"/>
      <c r="IH34" s="1229"/>
      <c r="II34" s="1229"/>
      <c r="IJ34" s="1229"/>
      <c r="IK34" s="1229"/>
      <c r="IL34" s="1229"/>
      <c r="IM34" s="1229"/>
      <c r="IN34" s="1229"/>
      <c r="IO34" s="1229"/>
      <c r="IP34" s="1229"/>
      <c r="IQ34" s="1229"/>
      <c r="IR34" s="1229"/>
      <c r="IS34" s="1229"/>
      <c r="IT34" s="1229"/>
      <c r="IU34" s="1229"/>
    </row>
    <row r="35" spans="1:255" x14ac:dyDescent="0.2">
      <c r="A35" s="1209">
        <v>62344</v>
      </c>
      <c r="B35" s="1225"/>
      <c r="C35" s="1226" t="s">
        <v>1970</v>
      </c>
      <c r="D35" s="1214">
        <f>'[15]Input Sheet'!G1108</f>
        <v>0</v>
      </c>
      <c r="E35" s="1214"/>
      <c r="F35" s="1227">
        <v>0</v>
      </c>
      <c r="G35" s="1228"/>
      <c r="H35" s="1229"/>
      <c r="I35" s="1229"/>
      <c r="J35" s="1229"/>
      <c r="K35" s="1229"/>
      <c r="L35" s="1229"/>
      <c r="M35" s="1229"/>
      <c r="N35" s="1229"/>
      <c r="O35" s="1229"/>
      <c r="P35" s="1229"/>
      <c r="Q35" s="1116"/>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c r="AP35" s="1229"/>
      <c r="AQ35" s="1229"/>
      <c r="AR35" s="1229"/>
      <c r="AS35" s="1229"/>
      <c r="AT35" s="1229"/>
      <c r="AU35" s="1229"/>
      <c r="AV35" s="1229"/>
      <c r="AW35" s="1229"/>
      <c r="AX35" s="1229"/>
      <c r="AY35" s="1229"/>
      <c r="AZ35" s="1229"/>
      <c r="BA35" s="1229"/>
      <c r="BB35" s="1229"/>
      <c r="BC35" s="1229"/>
      <c r="BD35" s="1229"/>
      <c r="BE35" s="1229"/>
      <c r="BF35" s="1229"/>
      <c r="BG35" s="1229"/>
      <c r="BH35" s="1229"/>
      <c r="BI35" s="1229"/>
      <c r="BJ35" s="1229"/>
      <c r="BK35" s="1229"/>
      <c r="BL35" s="1229"/>
      <c r="BM35" s="1229"/>
      <c r="BN35" s="1229"/>
      <c r="BO35" s="1229"/>
      <c r="BP35" s="1229"/>
      <c r="BQ35" s="1229"/>
      <c r="BR35" s="1229"/>
      <c r="BS35" s="1229"/>
      <c r="BT35" s="1229"/>
      <c r="BU35" s="1229"/>
      <c r="BV35" s="1229"/>
      <c r="BW35" s="1229"/>
      <c r="BX35" s="1229"/>
      <c r="BY35" s="1229"/>
      <c r="BZ35" s="1229"/>
      <c r="CA35" s="1229"/>
      <c r="CB35" s="1229"/>
      <c r="CC35" s="1229"/>
      <c r="CD35" s="1229"/>
      <c r="CE35" s="1229"/>
      <c r="CF35" s="1229"/>
      <c r="CG35" s="1229"/>
      <c r="CH35" s="1229"/>
      <c r="CI35" s="1229"/>
      <c r="CJ35" s="1229"/>
      <c r="CK35" s="1229"/>
      <c r="CL35" s="1229"/>
      <c r="CM35" s="1229"/>
      <c r="CN35" s="1229"/>
      <c r="CO35" s="1229"/>
      <c r="CP35" s="1229"/>
      <c r="CQ35" s="1229"/>
      <c r="CR35" s="1229"/>
      <c r="CS35" s="1229"/>
      <c r="CT35" s="1229"/>
      <c r="CU35" s="1229"/>
      <c r="CV35" s="1229"/>
      <c r="CW35" s="1229"/>
      <c r="CX35" s="1229"/>
      <c r="CY35" s="1229"/>
      <c r="CZ35" s="1229"/>
      <c r="DA35" s="1229"/>
      <c r="DB35" s="1229"/>
      <c r="DC35" s="1229"/>
      <c r="DD35" s="1229"/>
      <c r="DE35" s="1229"/>
      <c r="DF35" s="1229"/>
      <c r="DG35" s="1229"/>
      <c r="DH35" s="1229"/>
      <c r="DI35" s="1229"/>
      <c r="DJ35" s="1229"/>
      <c r="DK35" s="1229"/>
      <c r="DL35" s="1229"/>
      <c r="DM35" s="1229"/>
      <c r="DN35" s="1229"/>
      <c r="DO35" s="1229"/>
      <c r="DP35" s="1229"/>
      <c r="DQ35" s="1229"/>
      <c r="DR35" s="1229"/>
      <c r="DS35" s="1229"/>
      <c r="DT35" s="1229"/>
      <c r="DU35" s="1229"/>
      <c r="DV35" s="1229"/>
      <c r="DW35" s="1229"/>
      <c r="DX35" s="1229"/>
      <c r="DY35" s="1229"/>
      <c r="DZ35" s="1229"/>
      <c r="EA35" s="1229"/>
      <c r="EB35" s="1229"/>
      <c r="EC35" s="1229"/>
      <c r="ED35" s="1229"/>
      <c r="EE35" s="1229"/>
      <c r="EF35" s="1229"/>
      <c r="EG35" s="1229"/>
      <c r="EH35" s="1229"/>
      <c r="EI35" s="1229"/>
      <c r="EJ35" s="1229"/>
      <c r="EK35" s="1229"/>
      <c r="EL35" s="1229"/>
      <c r="EM35" s="1229"/>
      <c r="EN35" s="1229"/>
      <c r="EO35" s="1229"/>
      <c r="EP35" s="1229"/>
      <c r="EQ35" s="1229"/>
      <c r="ER35" s="1229"/>
      <c r="ES35" s="1229"/>
      <c r="ET35" s="1229"/>
      <c r="EU35" s="1229"/>
      <c r="EV35" s="1229"/>
      <c r="EW35" s="1229"/>
      <c r="EX35" s="1229"/>
      <c r="EY35" s="1229"/>
      <c r="EZ35" s="1229"/>
      <c r="FA35" s="1229"/>
      <c r="FB35" s="1229"/>
      <c r="FC35" s="1229"/>
      <c r="FD35" s="1229"/>
      <c r="FE35" s="1229"/>
      <c r="FF35" s="1229"/>
      <c r="FG35" s="1229"/>
      <c r="FH35" s="1229"/>
      <c r="FI35" s="1229"/>
      <c r="FJ35" s="1229"/>
      <c r="FK35" s="1229"/>
      <c r="FL35" s="1229"/>
      <c r="FM35" s="1229"/>
      <c r="FN35" s="1229"/>
      <c r="FO35" s="1229"/>
      <c r="FP35" s="1229"/>
      <c r="FQ35" s="1229"/>
      <c r="FR35" s="1229"/>
      <c r="FS35" s="1229"/>
      <c r="FT35" s="1229"/>
      <c r="FU35" s="1229"/>
      <c r="FV35" s="1229"/>
      <c r="FW35" s="1229"/>
      <c r="FX35" s="1229"/>
      <c r="FY35" s="1229"/>
      <c r="FZ35" s="1229"/>
      <c r="GA35" s="1229"/>
      <c r="GB35" s="1229"/>
      <c r="GC35" s="1229"/>
      <c r="GD35" s="1229"/>
      <c r="GE35" s="1229"/>
      <c r="GF35" s="1229"/>
      <c r="GG35" s="1229"/>
      <c r="GH35" s="1229"/>
      <c r="GI35" s="1229"/>
      <c r="GJ35" s="1229"/>
      <c r="GK35" s="1229"/>
      <c r="GL35" s="1229"/>
      <c r="GM35" s="1229"/>
      <c r="GN35" s="1229"/>
      <c r="GO35" s="1229"/>
      <c r="GP35" s="1229"/>
      <c r="GQ35" s="1229"/>
      <c r="GR35" s="1229"/>
      <c r="GS35" s="1229"/>
      <c r="GT35" s="1229"/>
      <c r="GU35" s="1229"/>
      <c r="GV35" s="1229"/>
      <c r="GW35" s="1229"/>
      <c r="GX35" s="1229"/>
      <c r="GY35" s="1229"/>
      <c r="GZ35" s="1229"/>
      <c r="HA35" s="1229"/>
      <c r="HB35" s="1229"/>
      <c r="HC35" s="1229"/>
      <c r="HD35" s="1229"/>
      <c r="HE35" s="1229"/>
      <c r="HF35" s="1229"/>
      <c r="HG35" s="1229"/>
      <c r="HH35" s="1229"/>
      <c r="HI35" s="1229"/>
      <c r="HJ35" s="1229"/>
      <c r="HK35" s="1229"/>
      <c r="HL35" s="1229"/>
      <c r="HM35" s="1229"/>
      <c r="HN35" s="1229"/>
      <c r="HO35" s="1229"/>
      <c r="HP35" s="1229"/>
      <c r="HQ35" s="1229"/>
      <c r="HR35" s="1229"/>
      <c r="HS35" s="1229"/>
      <c r="HT35" s="1229"/>
      <c r="HU35" s="1229"/>
      <c r="HV35" s="1229"/>
      <c r="HW35" s="1229"/>
      <c r="HX35" s="1229"/>
      <c r="HY35" s="1229"/>
      <c r="HZ35" s="1229"/>
      <c r="IA35" s="1229"/>
      <c r="IB35" s="1229"/>
      <c r="IC35" s="1229"/>
      <c r="ID35" s="1229"/>
      <c r="IE35" s="1229"/>
      <c r="IF35" s="1229"/>
      <c r="IG35" s="1229"/>
      <c r="IH35" s="1229"/>
      <c r="II35" s="1229"/>
      <c r="IJ35" s="1229"/>
      <c r="IK35" s="1229"/>
      <c r="IL35" s="1229"/>
      <c r="IM35" s="1229"/>
      <c r="IN35" s="1229"/>
      <c r="IO35" s="1229"/>
      <c r="IP35" s="1229"/>
      <c r="IQ35" s="1229"/>
      <c r="IR35" s="1229"/>
      <c r="IS35" s="1229"/>
      <c r="IT35" s="1229"/>
      <c r="IU35" s="1229"/>
    </row>
    <row r="36" spans="1:255" ht="15" x14ac:dyDescent="0.25">
      <c r="A36" s="1215"/>
      <c r="B36" s="1216"/>
      <c r="C36" s="1218" t="s">
        <v>694</v>
      </c>
      <c r="D36" s="1214"/>
      <c r="E36" s="1214"/>
      <c r="F36" s="1213"/>
      <c r="G36" s="1214"/>
    </row>
    <row r="37" spans="1:255" ht="15" x14ac:dyDescent="0.25">
      <c r="A37" s="1215"/>
      <c r="B37" s="1216"/>
      <c r="C37" s="882" t="s">
        <v>7</v>
      </c>
      <c r="D37" s="882"/>
      <c r="E37" s="882">
        <f>SUM(E28:E36)</f>
        <v>403.27283140099996</v>
      </c>
      <c r="F37" s="882"/>
      <c r="G37" s="882">
        <f>SUM(G28:G36)</f>
        <v>234.28060589299997</v>
      </c>
    </row>
    <row r="38" spans="1:255" ht="15" x14ac:dyDescent="0.25">
      <c r="A38" s="1215"/>
      <c r="B38" s="1216"/>
      <c r="C38" s="1230"/>
      <c r="D38" s="1214"/>
      <c r="E38" s="1214"/>
      <c r="F38" s="1213"/>
      <c r="G38" s="1214"/>
    </row>
    <row r="39" spans="1:255" ht="15" x14ac:dyDescent="0.25">
      <c r="A39" s="1215"/>
      <c r="B39" s="1216">
        <v>24</v>
      </c>
      <c r="C39" s="1217" t="s">
        <v>695</v>
      </c>
      <c r="D39" s="1214"/>
      <c r="E39" s="1214"/>
      <c r="F39" s="1213"/>
      <c r="G39" s="1214"/>
    </row>
    <row r="40" spans="1:255" ht="30" x14ac:dyDescent="0.25">
      <c r="A40" s="1215"/>
      <c r="B40" s="1216"/>
      <c r="C40" s="1231" t="s">
        <v>696</v>
      </c>
      <c r="D40" s="1214"/>
      <c r="E40" s="1214"/>
      <c r="F40" s="1213"/>
      <c r="G40" s="1214"/>
    </row>
    <row r="41" spans="1:255" ht="15" x14ac:dyDescent="0.25">
      <c r="A41" s="1215"/>
      <c r="B41" s="1216"/>
      <c r="C41" s="1232" t="s">
        <v>1971</v>
      </c>
      <c r="D41" s="1214"/>
      <c r="E41" s="1214">
        <f>SUM(D43:D49)</f>
        <v>5.85865E-2</v>
      </c>
      <c r="F41" s="1213"/>
      <c r="G41" s="1214">
        <f>SUM(F43:F49)</f>
        <v>0.22902478000000004</v>
      </c>
    </row>
    <row r="42" spans="1:255" ht="15" x14ac:dyDescent="0.25">
      <c r="A42" s="1209">
        <v>61451</v>
      </c>
      <c r="B42" s="1216"/>
      <c r="C42" s="1218" t="s">
        <v>1972</v>
      </c>
      <c r="D42" s="1214"/>
      <c r="E42" s="1214">
        <f>'[15]Input Sheet'!G1090</f>
        <v>2674.1801744999998</v>
      </c>
      <c r="F42" s="1213"/>
      <c r="G42" s="1214">
        <v>3949.250313</v>
      </c>
    </row>
    <row r="43" spans="1:255" ht="15" x14ac:dyDescent="0.25">
      <c r="A43" s="1209">
        <v>62210</v>
      </c>
      <c r="B43" s="1216"/>
      <c r="C43" s="1226" t="s">
        <v>1973</v>
      </c>
      <c r="D43" s="1214">
        <f>'[15]Input Sheet'!G1093</f>
        <v>1.4418089000000002E-2</v>
      </c>
      <c r="E43" s="1214"/>
      <c r="F43" s="1213">
        <v>0.13278218</v>
      </c>
      <c r="G43" s="1214"/>
    </row>
    <row r="44" spans="1:255" ht="15" x14ac:dyDescent="0.25">
      <c r="A44" s="1209">
        <v>62220</v>
      </c>
      <c r="B44" s="1216"/>
      <c r="C44" s="1226" t="s">
        <v>1974</v>
      </c>
      <c r="D44" s="1214">
        <f>'[15]Input Sheet'!G1094</f>
        <v>0</v>
      </c>
      <c r="E44" s="1214"/>
      <c r="F44" s="1213">
        <v>7.5832E-3</v>
      </c>
      <c r="G44" s="1214"/>
    </row>
    <row r="45" spans="1:255" ht="15" x14ac:dyDescent="0.25">
      <c r="A45" s="1209">
        <v>62230</v>
      </c>
      <c r="B45" s="1216"/>
      <c r="C45" s="1226" t="s">
        <v>1975</v>
      </c>
      <c r="D45" s="1214">
        <f>'[15]Input Sheet'!G1095</f>
        <v>4.4168410999999998E-2</v>
      </c>
      <c r="E45" s="1214"/>
      <c r="F45" s="1213">
        <v>8.7501999999999996E-3</v>
      </c>
      <c r="G45" s="1214"/>
    </row>
    <row r="46" spans="1:255" ht="15" x14ac:dyDescent="0.25">
      <c r="A46" s="1209">
        <v>62260</v>
      </c>
      <c r="B46" s="1216"/>
      <c r="C46" s="1226" t="s">
        <v>1976</v>
      </c>
      <c r="D46" s="1214">
        <f>'[15]Input Sheet'!G1097</f>
        <v>0</v>
      </c>
      <c r="E46" s="1214"/>
      <c r="F46" s="1213">
        <v>7.99092E-2</v>
      </c>
      <c r="G46" s="1214"/>
    </row>
    <row r="47" spans="1:255" ht="15" x14ac:dyDescent="0.25">
      <c r="A47" s="1209">
        <v>62261</v>
      </c>
      <c r="B47" s="1216"/>
      <c r="C47" s="1233" t="s">
        <v>1977</v>
      </c>
      <c r="D47" s="1214">
        <f>'[15]Input Sheet'!G1098</f>
        <v>0</v>
      </c>
      <c r="E47" s="1214"/>
      <c r="F47" s="1213">
        <v>0</v>
      </c>
      <c r="G47" s="1214"/>
    </row>
    <row r="48" spans="1:255" ht="15" x14ac:dyDescent="0.25">
      <c r="A48" s="1209">
        <v>62262</v>
      </c>
      <c r="B48" s="1216"/>
      <c r="C48" s="1233" t="s">
        <v>1978</v>
      </c>
      <c r="D48" s="1214">
        <f>'[15]Input Sheet'!G1099</f>
        <v>0</v>
      </c>
      <c r="E48" s="1214"/>
      <c r="F48" s="1213">
        <v>0</v>
      </c>
      <c r="G48" s="1214"/>
    </row>
    <row r="49" spans="1:255" ht="15" x14ac:dyDescent="0.25">
      <c r="A49" s="1209">
        <v>62263</v>
      </c>
      <c r="B49" s="1216"/>
      <c r="C49" s="1233" t="s">
        <v>1978</v>
      </c>
      <c r="D49" s="1214">
        <f>'[15]Input Sheet'!G1100</f>
        <v>0</v>
      </c>
      <c r="E49" s="1214"/>
      <c r="F49" s="1213">
        <v>0</v>
      </c>
      <c r="G49" s="1214"/>
    </row>
    <row r="50" spans="1:255" ht="15" x14ac:dyDescent="0.25">
      <c r="A50" s="1215"/>
      <c r="B50" s="1216"/>
      <c r="C50" s="1230" t="s">
        <v>591</v>
      </c>
      <c r="D50" s="1214"/>
      <c r="E50" s="1214"/>
      <c r="F50" s="1213"/>
      <c r="G50" s="1214"/>
    </row>
    <row r="51" spans="1:255" ht="15" x14ac:dyDescent="0.25">
      <c r="A51" s="1215"/>
      <c r="B51" s="1216"/>
      <c r="C51" s="1230" t="s">
        <v>591</v>
      </c>
      <c r="D51" s="1214"/>
      <c r="E51" s="1214"/>
      <c r="F51" s="1213"/>
      <c r="G51" s="1214"/>
    </row>
    <row r="52" spans="1:255" ht="15" x14ac:dyDescent="0.25">
      <c r="A52" s="1215"/>
      <c r="B52" s="1216"/>
      <c r="C52" s="1211" t="s">
        <v>702</v>
      </c>
      <c r="D52" s="1214"/>
      <c r="E52" s="1214">
        <f>SUM(D53:D56)</f>
        <v>4.524508934</v>
      </c>
      <c r="F52" s="1213"/>
      <c r="G52" s="1214">
        <f>SUM(F53:F56)</f>
        <v>4.4345818419999992</v>
      </c>
    </row>
    <row r="53" spans="1:255" ht="15" x14ac:dyDescent="0.25">
      <c r="A53" s="1209">
        <v>62902</v>
      </c>
      <c r="B53" s="1216"/>
      <c r="C53" s="1218" t="s">
        <v>1979</v>
      </c>
      <c r="D53" s="1214">
        <f>'[15]Input Sheet'!G1111</f>
        <v>1.8855504190000001</v>
      </c>
      <c r="E53" s="1214"/>
      <c r="F53" s="1213">
        <v>1.7378288909999999</v>
      </c>
      <c r="G53" s="1214"/>
    </row>
    <row r="54" spans="1:255" ht="15" x14ac:dyDescent="0.25">
      <c r="A54" s="1209">
        <v>62903</v>
      </c>
      <c r="B54" s="1216"/>
      <c r="C54" s="1218" t="s">
        <v>1980</v>
      </c>
      <c r="D54" s="1214">
        <f>'[15]Input Sheet'!G1112</f>
        <v>9.608565799999999E-2</v>
      </c>
      <c r="E54" s="1214"/>
      <c r="F54" s="1213">
        <v>0.145265058</v>
      </c>
      <c r="G54" s="1214"/>
    </row>
    <row r="55" spans="1:255" ht="15" x14ac:dyDescent="0.25">
      <c r="A55" s="1209">
        <v>62904</v>
      </c>
      <c r="B55" s="1216"/>
      <c r="C55" s="1218" t="s">
        <v>1981</v>
      </c>
      <c r="D55" s="1214">
        <f>'[15]Input Sheet'!G1113</f>
        <v>2.475237914</v>
      </c>
      <c r="E55" s="1214"/>
      <c r="F55" s="1213">
        <v>2.5097984979999999</v>
      </c>
      <c r="G55" s="1214"/>
    </row>
    <row r="56" spans="1:255" ht="15" x14ac:dyDescent="0.25">
      <c r="A56" s="1209">
        <v>62926</v>
      </c>
      <c r="B56" s="1216"/>
      <c r="C56" s="1218" t="s">
        <v>1982</v>
      </c>
      <c r="D56" s="1214">
        <f>'[15]Input Sheet'!G1117</f>
        <v>6.7634943000000003E-2</v>
      </c>
      <c r="E56" s="1214"/>
      <c r="F56" s="1213">
        <v>4.1689395000000004E-2</v>
      </c>
      <c r="G56" s="1214"/>
    </row>
    <row r="57" spans="1:255" ht="15" x14ac:dyDescent="0.25">
      <c r="A57" s="1215"/>
      <c r="B57" s="1216"/>
      <c r="C57" s="1218"/>
      <c r="D57" s="1214"/>
      <c r="E57" s="1214"/>
      <c r="F57" s="1213"/>
      <c r="G57" s="1214"/>
    </row>
    <row r="58" spans="1:255" ht="15" x14ac:dyDescent="0.25">
      <c r="A58" s="1215"/>
      <c r="B58" s="1216"/>
      <c r="C58" s="1224" t="s">
        <v>1983</v>
      </c>
      <c r="D58" s="1214"/>
      <c r="E58" s="1214"/>
      <c r="F58" s="1213"/>
      <c r="G58" s="1214"/>
    </row>
    <row r="59" spans="1:255" ht="15" x14ac:dyDescent="0.25">
      <c r="A59" s="1215"/>
      <c r="B59" s="1216"/>
      <c r="C59" s="1218"/>
      <c r="D59" s="1214"/>
      <c r="E59" s="1214"/>
      <c r="F59" s="1213"/>
      <c r="G59" s="1214"/>
    </row>
    <row r="60" spans="1:255" ht="15" x14ac:dyDescent="0.25">
      <c r="A60" s="1209">
        <v>77730</v>
      </c>
      <c r="B60" s="1216"/>
      <c r="C60" s="471" t="s">
        <v>701</v>
      </c>
      <c r="D60" s="1214"/>
      <c r="E60" s="1219">
        <f>+'[15]Input Sheet'!G1300</f>
        <v>144.66125667700001</v>
      </c>
      <c r="F60" s="1213"/>
      <c r="G60" s="1214">
        <f>1.536765613-H60</f>
        <v>1.6363926129999999</v>
      </c>
      <c r="H60" s="1234">
        <f>+[15]restated!R49/10^7</f>
        <v>-9.9626999999999993E-2</v>
      </c>
    </row>
    <row r="61" spans="1:255" ht="15" x14ac:dyDescent="0.25">
      <c r="A61" s="1220">
        <v>62310</v>
      </c>
      <c r="B61" s="1216"/>
      <c r="C61" s="1235" t="s">
        <v>1984</v>
      </c>
      <c r="D61" s="1214">
        <f>'[15]Input Sheet'!G1102</f>
        <v>5.45748E-2</v>
      </c>
      <c r="E61" s="1214"/>
      <c r="F61" s="1213"/>
      <c r="G61" s="1214"/>
    </row>
    <row r="62" spans="1:255" x14ac:dyDescent="0.2">
      <c r="A62" s="1209">
        <v>62340</v>
      </c>
      <c r="B62" s="1225"/>
      <c r="C62" s="1236" t="s">
        <v>1985</v>
      </c>
      <c r="D62" s="1214">
        <f>'[15]Input Sheet'!G1104</f>
        <v>21.509771191999999</v>
      </c>
      <c r="E62" s="1214">
        <f>SUM(D61:D62)</f>
        <v>21.564345992</v>
      </c>
      <c r="F62" s="1213">
        <v>31.438449506999998</v>
      </c>
      <c r="G62" s="1214">
        <f>SUM(F61:F62)</f>
        <v>31.438449506999998</v>
      </c>
      <c r="H62" s="1229"/>
      <c r="I62" s="1229"/>
      <c r="J62" s="1229"/>
      <c r="K62" s="1229"/>
      <c r="L62" s="1229"/>
      <c r="M62" s="1229"/>
      <c r="N62" s="1229"/>
      <c r="O62" s="1229"/>
      <c r="P62" s="1229"/>
      <c r="Q62" s="1116"/>
      <c r="R62" s="1229"/>
      <c r="S62" s="1229"/>
      <c r="T62" s="1229"/>
      <c r="U62" s="1229"/>
      <c r="V62" s="1229"/>
      <c r="W62" s="1229"/>
      <c r="X62" s="1229"/>
      <c r="Y62" s="1229"/>
      <c r="Z62" s="1229"/>
      <c r="AA62" s="1229"/>
      <c r="AB62" s="1229"/>
      <c r="AC62" s="1229"/>
      <c r="AD62" s="1229"/>
      <c r="AE62" s="1229"/>
      <c r="AF62" s="1229"/>
      <c r="AG62" s="1229"/>
      <c r="AH62" s="1229"/>
      <c r="AI62" s="1229"/>
      <c r="AJ62" s="1229"/>
      <c r="AK62" s="1229"/>
      <c r="AL62" s="1229"/>
      <c r="AM62" s="1229"/>
      <c r="AN62" s="1229"/>
      <c r="AO62" s="1229"/>
      <c r="AP62" s="1229"/>
      <c r="AQ62" s="1229"/>
      <c r="AR62" s="1229"/>
      <c r="AS62" s="1229"/>
      <c r="AT62" s="1229"/>
      <c r="AU62" s="1229"/>
      <c r="AV62" s="1229"/>
      <c r="AW62" s="1229"/>
      <c r="AX62" s="1229"/>
      <c r="AY62" s="1229"/>
      <c r="AZ62" s="1229"/>
      <c r="BA62" s="1229"/>
      <c r="BB62" s="1229"/>
      <c r="BC62" s="1229"/>
      <c r="BD62" s="1229"/>
      <c r="BE62" s="1229"/>
      <c r="BF62" s="1229"/>
      <c r="BG62" s="1229"/>
      <c r="BH62" s="1229"/>
      <c r="BI62" s="1229"/>
      <c r="BJ62" s="1229"/>
      <c r="BK62" s="1229"/>
      <c r="BL62" s="1229"/>
      <c r="BM62" s="1229"/>
      <c r="BN62" s="1229"/>
      <c r="BO62" s="1229"/>
      <c r="BP62" s="1229"/>
      <c r="BQ62" s="1229"/>
      <c r="BR62" s="1229"/>
      <c r="BS62" s="1229"/>
      <c r="BT62" s="1229"/>
      <c r="BU62" s="1229"/>
      <c r="BV62" s="1229"/>
      <c r="BW62" s="1229"/>
      <c r="BX62" s="1229"/>
      <c r="BY62" s="1229"/>
      <c r="BZ62" s="1229"/>
      <c r="CA62" s="1229"/>
      <c r="CB62" s="1229"/>
      <c r="CC62" s="1229"/>
      <c r="CD62" s="1229"/>
      <c r="CE62" s="1229"/>
      <c r="CF62" s="1229"/>
      <c r="CG62" s="1229"/>
      <c r="CH62" s="1229"/>
      <c r="CI62" s="1229"/>
      <c r="CJ62" s="1229"/>
      <c r="CK62" s="1229"/>
      <c r="CL62" s="1229"/>
      <c r="CM62" s="1229"/>
      <c r="CN62" s="1229"/>
      <c r="CO62" s="1229"/>
      <c r="CP62" s="1229"/>
      <c r="CQ62" s="1229"/>
      <c r="CR62" s="1229"/>
      <c r="CS62" s="1229"/>
      <c r="CT62" s="1229"/>
      <c r="CU62" s="1229"/>
      <c r="CV62" s="1229"/>
      <c r="CW62" s="1229"/>
      <c r="CX62" s="1229"/>
      <c r="CY62" s="1229"/>
      <c r="CZ62" s="1229"/>
      <c r="DA62" s="1229"/>
      <c r="DB62" s="1229"/>
      <c r="DC62" s="1229"/>
      <c r="DD62" s="1229"/>
      <c r="DE62" s="1229"/>
      <c r="DF62" s="1229"/>
      <c r="DG62" s="1229"/>
      <c r="DH62" s="1229"/>
      <c r="DI62" s="1229"/>
      <c r="DJ62" s="1229"/>
      <c r="DK62" s="1229"/>
      <c r="DL62" s="1229"/>
      <c r="DM62" s="1229"/>
      <c r="DN62" s="1229"/>
      <c r="DO62" s="1229"/>
      <c r="DP62" s="1229"/>
      <c r="DQ62" s="1229"/>
      <c r="DR62" s="1229"/>
      <c r="DS62" s="1229"/>
      <c r="DT62" s="1229"/>
      <c r="DU62" s="1229"/>
      <c r="DV62" s="1229"/>
      <c r="DW62" s="1229"/>
      <c r="DX62" s="1229"/>
      <c r="DY62" s="1229"/>
      <c r="DZ62" s="1229"/>
      <c r="EA62" s="1229"/>
      <c r="EB62" s="1229"/>
      <c r="EC62" s="1229"/>
      <c r="ED62" s="1229"/>
      <c r="EE62" s="1229"/>
      <c r="EF62" s="1229"/>
      <c r="EG62" s="1229"/>
      <c r="EH62" s="1229"/>
      <c r="EI62" s="1229"/>
      <c r="EJ62" s="1229"/>
      <c r="EK62" s="1229"/>
      <c r="EL62" s="1229"/>
      <c r="EM62" s="1229"/>
      <c r="EN62" s="1229"/>
      <c r="EO62" s="1229"/>
      <c r="EP62" s="1229"/>
      <c r="EQ62" s="1229"/>
      <c r="ER62" s="1229"/>
      <c r="ES62" s="1229"/>
      <c r="ET62" s="1229"/>
      <c r="EU62" s="1229"/>
      <c r="EV62" s="1229"/>
      <c r="EW62" s="1229"/>
      <c r="EX62" s="1229"/>
      <c r="EY62" s="1229"/>
      <c r="EZ62" s="1229"/>
      <c r="FA62" s="1229"/>
      <c r="FB62" s="1229"/>
      <c r="FC62" s="1229"/>
      <c r="FD62" s="1229"/>
      <c r="FE62" s="1229"/>
      <c r="FF62" s="1229"/>
      <c r="FG62" s="1229"/>
      <c r="FH62" s="1229"/>
      <c r="FI62" s="1229"/>
      <c r="FJ62" s="1229"/>
      <c r="FK62" s="1229"/>
      <c r="FL62" s="1229"/>
      <c r="FM62" s="1229"/>
      <c r="FN62" s="1229"/>
      <c r="FO62" s="1229"/>
      <c r="FP62" s="1229"/>
      <c r="FQ62" s="1229"/>
      <c r="FR62" s="1229"/>
      <c r="FS62" s="1229"/>
      <c r="FT62" s="1229"/>
      <c r="FU62" s="1229"/>
      <c r="FV62" s="1229"/>
      <c r="FW62" s="1229"/>
      <c r="FX62" s="1229"/>
      <c r="FY62" s="1229"/>
      <c r="FZ62" s="1229"/>
      <c r="GA62" s="1229"/>
      <c r="GB62" s="1229"/>
      <c r="GC62" s="1229"/>
      <c r="GD62" s="1229"/>
      <c r="GE62" s="1229"/>
      <c r="GF62" s="1229"/>
      <c r="GG62" s="1229"/>
      <c r="GH62" s="1229"/>
      <c r="GI62" s="1229"/>
      <c r="GJ62" s="1229"/>
      <c r="GK62" s="1229"/>
      <c r="GL62" s="1229"/>
      <c r="GM62" s="1229"/>
      <c r="GN62" s="1229"/>
      <c r="GO62" s="1229"/>
      <c r="GP62" s="1229"/>
      <c r="GQ62" s="1229"/>
      <c r="GR62" s="1229"/>
      <c r="GS62" s="1229"/>
      <c r="GT62" s="1229"/>
      <c r="GU62" s="1229"/>
      <c r="GV62" s="1229"/>
      <c r="GW62" s="1229"/>
      <c r="GX62" s="1229"/>
      <c r="GY62" s="1229"/>
      <c r="GZ62" s="1229"/>
      <c r="HA62" s="1229"/>
      <c r="HB62" s="1229"/>
      <c r="HC62" s="1229"/>
      <c r="HD62" s="1229"/>
      <c r="HE62" s="1229"/>
      <c r="HF62" s="1229"/>
      <c r="HG62" s="1229"/>
      <c r="HH62" s="1229"/>
      <c r="HI62" s="1229"/>
      <c r="HJ62" s="1229"/>
      <c r="HK62" s="1229"/>
      <c r="HL62" s="1229"/>
      <c r="HM62" s="1229"/>
      <c r="HN62" s="1229"/>
      <c r="HO62" s="1229"/>
      <c r="HP62" s="1229"/>
      <c r="HQ62" s="1229"/>
      <c r="HR62" s="1229"/>
      <c r="HS62" s="1229"/>
      <c r="HT62" s="1229"/>
      <c r="HU62" s="1229"/>
      <c r="HV62" s="1229"/>
      <c r="HW62" s="1229"/>
      <c r="HX62" s="1229"/>
      <c r="HY62" s="1229"/>
      <c r="HZ62" s="1229"/>
      <c r="IA62" s="1229"/>
      <c r="IB62" s="1229"/>
      <c r="IC62" s="1229"/>
      <c r="ID62" s="1229"/>
      <c r="IE62" s="1229"/>
      <c r="IF62" s="1229"/>
      <c r="IG62" s="1229"/>
      <c r="IH62" s="1229"/>
      <c r="II62" s="1229"/>
      <c r="IJ62" s="1229"/>
      <c r="IK62" s="1229"/>
      <c r="IL62" s="1229"/>
      <c r="IM62" s="1229"/>
      <c r="IN62" s="1229"/>
      <c r="IO62" s="1229"/>
      <c r="IP62" s="1229"/>
      <c r="IQ62" s="1229"/>
      <c r="IR62" s="1229"/>
      <c r="IS62" s="1229"/>
      <c r="IT62" s="1229"/>
      <c r="IU62" s="1229"/>
    </row>
    <row r="63" spans="1:255" x14ac:dyDescent="0.2">
      <c r="A63" s="1215"/>
      <c r="B63" s="1225"/>
      <c r="C63" s="1237"/>
      <c r="D63" s="1214"/>
      <c r="E63" s="1214"/>
      <c r="F63" s="1213"/>
      <c r="G63" s="1214"/>
      <c r="H63" s="1229"/>
      <c r="I63" s="1229"/>
      <c r="J63" s="1229"/>
      <c r="K63" s="1229"/>
      <c r="L63" s="1229"/>
      <c r="M63" s="1229"/>
      <c r="N63" s="1229"/>
      <c r="O63" s="1229"/>
      <c r="P63" s="1229"/>
      <c r="Q63" s="1116"/>
      <c r="R63" s="1229"/>
      <c r="S63" s="1229"/>
      <c r="T63" s="1229"/>
      <c r="U63" s="1229"/>
      <c r="V63" s="1229"/>
      <c r="W63" s="1229"/>
      <c r="X63" s="1229"/>
      <c r="Y63" s="1229"/>
      <c r="Z63" s="1229"/>
      <c r="AA63" s="1229"/>
      <c r="AB63" s="1229"/>
      <c r="AC63" s="1229"/>
      <c r="AD63" s="1229"/>
      <c r="AE63" s="1229"/>
      <c r="AF63" s="1229"/>
      <c r="AG63" s="1229"/>
      <c r="AH63" s="1229"/>
      <c r="AI63" s="1229"/>
      <c r="AJ63" s="1229"/>
      <c r="AK63" s="1229"/>
      <c r="AL63" s="1229"/>
      <c r="AM63" s="1229"/>
      <c r="AN63" s="1229"/>
      <c r="AO63" s="1229"/>
      <c r="AP63" s="1229"/>
      <c r="AQ63" s="1229"/>
      <c r="AR63" s="1229"/>
      <c r="AS63" s="1229"/>
      <c r="AT63" s="1229"/>
      <c r="AU63" s="1229"/>
      <c r="AV63" s="1229"/>
      <c r="AW63" s="1229"/>
      <c r="AX63" s="1229"/>
      <c r="AY63" s="1229"/>
      <c r="AZ63" s="1229"/>
      <c r="BA63" s="1229"/>
      <c r="BB63" s="1229"/>
      <c r="BC63" s="1229"/>
      <c r="BD63" s="1229"/>
      <c r="BE63" s="1229"/>
      <c r="BF63" s="1229"/>
      <c r="BG63" s="1229"/>
      <c r="BH63" s="1229"/>
      <c r="BI63" s="1229"/>
      <c r="BJ63" s="1229"/>
      <c r="BK63" s="1229"/>
      <c r="BL63" s="1229"/>
      <c r="BM63" s="1229"/>
      <c r="BN63" s="1229"/>
      <c r="BO63" s="1229"/>
      <c r="BP63" s="1229"/>
      <c r="BQ63" s="1229"/>
      <c r="BR63" s="1229"/>
      <c r="BS63" s="1229"/>
      <c r="BT63" s="1229"/>
      <c r="BU63" s="1229"/>
      <c r="BV63" s="1229"/>
      <c r="BW63" s="1229"/>
      <c r="BX63" s="1229"/>
      <c r="BY63" s="1229"/>
      <c r="BZ63" s="1229"/>
      <c r="CA63" s="1229"/>
      <c r="CB63" s="1229"/>
      <c r="CC63" s="1229"/>
      <c r="CD63" s="1229"/>
      <c r="CE63" s="1229"/>
      <c r="CF63" s="1229"/>
      <c r="CG63" s="1229"/>
      <c r="CH63" s="1229"/>
      <c r="CI63" s="1229"/>
      <c r="CJ63" s="1229"/>
      <c r="CK63" s="1229"/>
      <c r="CL63" s="1229"/>
      <c r="CM63" s="1229"/>
      <c r="CN63" s="1229"/>
      <c r="CO63" s="1229"/>
      <c r="CP63" s="1229"/>
      <c r="CQ63" s="1229"/>
      <c r="CR63" s="1229"/>
      <c r="CS63" s="1229"/>
      <c r="CT63" s="1229"/>
      <c r="CU63" s="1229"/>
      <c r="CV63" s="1229"/>
      <c r="CW63" s="1229"/>
      <c r="CX63" s="1229"/>
      <c r="CY63" s="1229"/>
      <c r="CZ63" s="1229"/>
      <c r="DA63" s="1229"/>
      <c r="DB63" s="1229"/>
      <c r="DC63" s="1229"/>
      <c r="DD63" s="1229"/>
      <c r="DE63" s="1229"/>
      <c r="DF63" s="1229"/>
      <c r="DG63" s="1229"/>
      <c r="DH63" s="1229"/>
      <c r="DI63" s="1229"/>
      <c r="DJ63" s="1229"/>
      <c r="DK63" s="1229"/>
      <c r="DL63" s="1229"/>
      <c r="DM63" s="1229"/>
      <c r="DN63" s="1229"/>
      <c r="DO63" s="1229"/>
      <c r="DP63" s="1229"/>
      <c r="DQ63" s="1229"/>
      <c r="DR63" s="1229"/>
      <c r="DS63" s="1229"/>
      <c r="DT63" s="1229"/>
      <c r="DU63" s="1229"/>
      <c r="DV63" s="1229"/>
      <c r="DW63" s="1229"/>
      <c r="DX63" s="1229"/>
      <c r="DY63" s="1229"/>
      <c r="DZ63" s="1229"/>
      <c r="EA63" s="1229"/>
      <c r="EB63" s="1229"/>
      <c r="EC63" s="1229"/>
      <c r="ED63" s="1229"/>
      <c r="EE63" s="1229"/>
      <c r="EF63" s="1229"/>
      <c r="EG63" s="1229"/>
      <c r="EH63" s="1229"/>
      <c r="EI63" s="1229"/>
      <c r="EJ63" s="1229"/>
      <c r="EK63" s="1229"/>
      <c r="EL63" s="1229"/>
      <c r="EM63" s="1229"/>
      <c r="EN63" s="1229"/>
      <c r="EO63" s="1229"/>
      <c r="EP63" s="1229"/>
      <c r="EQ63" s="1229"/>
      <c r="ER63" s="1229"/>
      <c r="ES63" s="1229"/>
      <c r="ET63" s="1229"/>
      <c r="EU63" s="1229"/>
      <c r="EV63" s="1229"/>
      <c r="EW63" s="1229"/>
      <c r="EX63" s="1229"/>
      <c r="EY63" s="1229"/>
      <c r="EZ63" s="1229"/>
      <c r="FA63" s="1229"/>
      <c r="FB63" s="1229"/>
      <c r="FC63" s="1229"/>
      <c r="FD63" s="1229"/>
      <c r="FE63" s="1229"/>
      <c r="FF63" s="1229"/>
      <c r="FG63" s="1229"/>
      <c r="FH63" s="1229"/>
      <c r="FI63" s="1229"/>
      <c r="FJ63" s="1229"/>
      <c r="FK63" s="1229"/>
      <c r="FL63" s="1229"/>
      <c r="FM63" s="1229"/>
      <c r="FN63" s="1229"/>
      <c r="FO63" s="1229"/>
      <c r="FP63" s="1229"/>
      <c r="FQ63" s="1229"/>
      <c r="FR63" s="1229"/>
      <c r="FS63" s="1229"/>
      <c r="FT63" s="1229"/>
      <c r="FU63" s="1229"/>
      <c r="FV63" s="1229"/>
      <c r="FW63" s="1229"/>
      <c r="FX63" s="1229"/>
      <c r="FY63" s="1229"/>
      <c r="FZ63" s="1229"/>
      <c r="GA63" s="1229"/>
      <c r="GB63" s="1229"/>
      <c r="GC63" s="1229"/>
      <c r="GD63" s="1229"/>
      <c r="GE63" s="1229"/>
      <c r="GF63" s="1229"/>
      <c r="GG63" s="1229"/>
      <c r="GH63" s="1229"/>
      <c r="GI63" s="1229"/>
      <c r="GJ63" s="1229"/>
      <c r="GK63" s="1229"/>
      <c r="GL63" s="1229"/>
      <c r="GM63" s="1229"/>
      <c r="GN63" s="1229"/>
      <c r="GO63" s="1229"/>
      <c r="GP63" s="1229"/>
      <c r="GQ63" s="1229"/>
      <c r="GR63" s="1229"/>
      <c r="GS63" s="1229"/>
      <c r="GT63" s="1229"/>
      <c r="GU63" s="1229"/>
      <c r="GV63" s="1229"/>
      <c r="GW63" s="1229"/>
      <c r="GX63" s="1229"/>
      <c r="GY63" s="1229"/>
      <c r="GZ63" s="1229"/>
      <c r="HA63" s="1229"/>
      <c r="HB63" s="1229"/>
      <c r="HC63" s="1229"/>
      <c r="HD63" s="1229"/>
      <c r="HE63" s="1229"/>
      <c r="HF63" s="1229"/>
      <c r="HG63" s="1229"/>
      <c r="HH63" s="1229"/>
      <c r="HI63" s="1229"/>
      <c r="HJ63" s="1229"/>
      <c r="HK63" s="1229"/>
      <c r="HL63" s="1229"/>
      <c r="HM63" s="1229"/>
      <c r="HN63" s="1229"/>
      <c r="HO63" s="1229"/>
      <c r="HP63" s="1229"/>
      <c r="HQ63" s="1229"/>
      <c r="HR63" s="1229"/>
      <c r="HS63" s="1229"/>
      <c r="HT63" s="1229"/>
      <c r="HU63" s="1229"/>
      <c r="HV63" s="1229"/>
      <c r="HW63" s="1229"/>
      <c r="HX63" s="1229"/>
      <c r="HY63" s="1229"/>
      <c r="HZ63" s="1229"/>
      <c r="IA63" s="1229"/>
      <c r="IB63" s="1229"/>
      <c r="IC63" s="1229"/>
      <c r="ID63" s="1229"/>
      <c r="IE63" s="1229"/>
      <c r="IF63" s="1229"/>
      <c r="IG63" s="1229"/>
      <c r="IH63" s="1229"/>
      <c r="II63" s="1229"/>
      <c r="IJ63" s="1229"/>
      <c r="IK63" s="1229"/>
      <c r="IL63" s="1229"/>
      <c r="IM63" s="1229"/>
      <c r="IN63" s="1229"/>
      <c r="IO63" s="1229"/>
      <c r="IP63" s="1229"/>
      <c r="IQ63" s="1229"/>
      <c r="IR63" s="1229"/>
      <c r="IS63" s="1229"/>
      <c r="IT63" s="1229"/>
      <c r="IU63" s="1229"/>
    </row>
    <row r="64" spans="1:255" ht="15" x14ac:dyDescent="0.25">
      <c r="A64" s="1209">
        <v>62918</v>
      </c>
      <c r="B64" s="1216"/>
      <c r="C64" s="1224" t="s">
        <v>704</v>
      </c>
      <c r="D64" s="1214"/>
      <c r="E64" s="1214">
        <f>'[15]Input Sheet'!G1115</f>
        <v>7.0211863999999999E-2</v>
      </c>
      <c r="F64" s="1213"/>
      <c r="G64" s="1214">
        <v>5.0000000000000001E-3</v>
      </c>
    </row>
    <row r="65" spans="1:17" ht="15" x14ac:dyDescent="0.25">
      <c r="A65" s="1209">
        <v>62912</v>
      </c>
      <c r="B65" s="1216"/>
      <c r="C65" s="1224" t="s">
        <v>705</v>
      </c>
      <c r="D65" s="1214"/>
      <c r="E65" s="1214">
        <f>'[15]Input Sheet'!G1114</f>
        <v>814.82119799899999</v>
      </c>
      <c r="F65" s="1213"/>
      <c r="G65" s="1214">
        <f>86.248659976-H65</f>
        <v>750.94613817599998</v>
      </c>
      <c r="H65" s="1234">
        <f>+[15]restated!R33/10^7</f>
        <v>-664.69747819999998</v>
      </c>
    </row>
    <row r="66" spans="1:17" ht="15" x14ac:dyDescent="0.25">
      <c r="A66" s="1215"/>
      <c r="B66" s="1216"/>
      <c r="C66" s="1224" t="s">
        <v>706</v>
      </c>
      <c r="D66" s="1214"/>
      <c r="E66" s="1214">
        <f>SUM(D67:D80)</f>
        <v>147.86826225499999</v>
      </c>
      <c r="F66" s="1213"/>
      <c r="G66" s="1214">
        <f>SUM(F67:F80)</f>
        <v>127.91627842700002</v>
      </c>
    </row>
    <row r="67" spans="1:17" ht="15" x14ac:dyDescent="0.25">
      <c r="A67" s="1209">
        <v>62250</v>
      </c>
      <c r="B67" s="1216"/>
      <c r="C67" s="1226" t="s">
        <v>1986</v>
      </c>
      <c r="D67" s="1214">
        <f>'[15]Input Sheet'!G1096</f>
        <v>0.150689184</v>
      </c>
      <c r="E67" s="1214"/>
      <c r="F67" s="1213">
        <v>8.7209275000000003E-2</v>
      </c>
      <c r="G67" s="1214"/>
    </row>
    <row r="68" spans="1:17" ht="15" x14ac:dyDescent="0.25">
      <c r="A68" s="1209">
        <v>62280</v>
      </c>
      <c r="B68" s="1216"/>
      <c r="C68" s="1226" t="s">
        <v>1987</v>
      </c>
      <c r="D68" s="1214">
        <f>('[15]Input Sheet'!G1101)</f>
        <v>1.445136</v>
      </c>
      <c r="E68" s="1214"/>
      <c r="F68" s="1213">
        <v>0.70306400000000002</v>
      </c>
      <c r="G68" s="1214"/>
    </row>
    <row r="69" spans="1:17" ht="15" x14ac:dyDescent="0.25">
      <c r="A69" s="1209">
        <v>62921</v>
      </c>
      <c r="B69" s="1216"/>
      <c r="C69" s="1226" t="s">
        <v>1988</v>
      </c>
      <c r="D69" s="1214">
        <f>'[15]Input Sheet'!G1116</f>
        <v>3.2657247530000002</v>
      </c>
      <c r="E69" s="1214"/>
      <c r="F69" s="1213">
        <v>3.2746448530000003</v>
      </c>
      <c r="G69" s="1214"/>
    </row>
    <row r="70" spans="1:17" ht="15" x14ac:dyDescent="0.25">
      <c r="A70" s="1209">
        <v>62928</v>
      </c>
      <c r="B70" s="1216"/>
      <c r="C70" s="1226" t="s">
        <v>1989</v>
      </c>
      <c r="D70" s="1214">
        <f>'[15]Input Sheet'!G1118</f>
        <v>0</v>
      </c>
      <c r="E70" s="1214"/>
      <c r="F70" s="1213">
        <v>0</v>
      </c>
      <c r="G70" s="1214"/>
    </row>
    <row r="71" spans="1:17" ht="15" x14ac:dyDescent="0.25">
      <c r="A71" s="1209">
        <v>62929</v>
      </c>
      <c r="B71" s="1216"/>
      <c r="C71" s="1226" t="s">
        <v>1990</v>
      </c>
      <c r="D71" s="1214">
        <f>'[15]Input Sheet'!G1119</f>
        <v>1.6310594000000001E-2</v>
      </c>
      <c r="E71" s="1214"/>
      <c r="F71" s="1213">
        <v>4.7282187799999997</v>
      </c>
      <c r="G71" s="1214"/>
    </row>
    <row r="72" spans="1:17" ht="15" x14ac:dyDescent="0.25">
      <c r="A72" s="1209">
        <v>62951</v>
      </c>
      <c r="B72" s="1216"/>
      <c r="C72" s="1226" t="s">
        <v>1991</v>
      </c>
      <c r="D72" s="1214">
        <f>'[15]Input Sheet'!G1120</f>
        <v>2.9704999999999999E-2</v>
      </c>
      <c r="E72" s="1214"/>
      <c r="F72" s="1213">
        <v>3.4224999999999998E-2</v>
      </c>
      <c r="G72" s="1214"/>
    </row>
    <row r="73" spans="1:17" ht="15" x14ac:dyDescent="0.25">
      <c r="A73" s="1209">
        <v>62952</v>
      </c>
      <c r="B73" s="1216"/>
      <c r="C73" s="1236" t="s">
        <v>1992</v>
      </c>
      <c r="D73" s="1214">
        <f>+'[15]Input Sheet'!G1121</f>
        <v>0</v>
      </c>
      <c r="E73" s="1214"/>
      <c r="F73" s="1213">
        <v>0</v>
      </c>
      <c r="G73" s="1214"/>
      <c r="H73" s="1238"/>
    </row>
    <row r="74" spans="1:17" ht="15" x14ac:dyDescent="0.25">
      <c r="A74" s="1209">
        <v>62953</v>
      </c>
      <c r="B74" s="1216"/>
      <c r="C74" s="1236" t="s">
        <v>1993</v>
      </c>
      <c r="D74" s="1214">
        <f>+'[15]Input Sheet'!G1122</f>
        <v>0</v>
      </c>
      <c r="E74" s="1214"/>
      <c r="F74" s="1213">
        <v>0</v>
      </c>
      <c r="G74" s="1214"/>
    </row>
    <row r="75" spans="1:17" s="1026" customFormat="1" ht="15" x14ac:dyDescent="0.25">
      <c r="A75" s="1209">
        <v>62990</v>
      </c>
      <c r="B75" s="1216"/>
      <c r="C75" s="1236" t="s">
        <v>1994</v>
      </c>
      <c r="D75" s="619">
        <f>'[15]Input Sheet'!G1123</f>
        <v>8.6050936450000002</v>
      </c>
      <c r="E75" s="619"/>
      <c r="F75" s="1239">
        <f>3.210067582-H75</f>
        <v>3.2870680820000002</v>
      </c>
      <c r="G75" s="1212"/>
      <c r="H75" s="1240">
        <f>+[15]restated!R34/10^7</f>
        <v>-7.70005E-2</v>
      </c>
      <c r="Q75" s="1023"/>
    </row>
    <row r="76" spans="1:17" s="1026" customFormat="1" ht="15" x14ac:dyDescent="0.25">
      <c r="A76" s="1209">
        <v>62991</v>
      </c>
      <c r="B76" s="1216"/>
      <c r="C76" s="1241" t="s">
        <v>1995</v>
      </c>
      <c r="D76" s="619">
        <f>'[15]Input Sheet'!G1124</f>
        <v>128.515590446</v>
      </c>
      <c r="E76" s="619"/>
      <c r="F76" s="1239">
        <v>105.71124258200001</v>
      </c>
      <c r="G76" s="1214"/>
      <c r="Q76" s="1023"/>
    </row>
    <row r="77" spans="1:17" ht="15" x14ac:dyDescent="0.25">
      <c r="A77" s="1215">
        <v>79570</v>
      </c>
      <c r="B77" s="1216"/>
      <c r="C77" s="1226" t="s">
        <v>1996</v>
      </c>
      <c r="D77" s="1242">
        <f>'[15]Input Sheet'!G1341</f>
        <v>0</v>
      </c>
      <c r="E77" s="1214"/>
      <c r="F77" s="1213">
        <v>0</v>
      </c>
      <c r="G77" s="1214"/>
    </row>
    <row r="78" spans="1:17" ht="15" x14ac:dyDescent="0.25">
      <c r="A78" s="1215">
        <v>79561</v>
      </c>
      <c r="B78" s="1216"/>
      <c r="C78" s="1226" t="s">
        <v>1997</v>
      </c>
      <c r="D78" s="1243">
        <f>IF('[15]Input Sheet'!G1340&gt;0,0,-'[15]Input Sheet'!G1340)</f>
        <v>0</v>
      </c>
      <c r="E78" s="1214"/>
      <c r="F78" s="1213">
        <v>10.117005855</v>
      </c>
      <c r="G78" s="1214"/>
    </row>
    <row r="79" spans="1:17" ht="15" x14ac:dyDescent="0.25">
      <c r="A79" s="1215">
        <f>'[15]Input Sheet'!D1344</f>
        <v>79572</v>
      </c>
      <c r="B79" s="1216"/>
      <c r="C79" s="1226" t="str">
        <f>'[15]Input Sheet'!E1344</f>
        <v>Loss due to Scrapping</v>
      </c>
      <c r="D79" s="1243">
        <f>'[15]Input Sheet'!G1344</f>
        <v>5.8400126329999997</v>
      </c>
      <c r="E79" s="1214"/>
      <c r="F79" s="1213">
        <v>-2.64E-2</v>
      </c>
      <c r="G79" s="1214"/>
    </row>
    <row r="80" spans="1:17" ht="15" x14ac:dyDescent="0.25">
      <c r="A80" s="1209">
        <v>62330</v>
      </c>
      <c r="B80" s="1216"/>
      <c r="C80" s="1226" t="s">
        <v>1998</v>
      </c>
      <c r="D80" s="1214">
        <f>+'[15]Input Sheet'!G1103</f>
        <v>0</v>
      </c>
      <c r="E80" s="1214"/>
      <c r="F80" s="1213">
        <v>0</v>
      </c>
      <c r="G80" s="1214">
        <f>F80</f>
        <v>0</v>
      </c>
    </row>
    <row r="81" spans="1:10" ht="15" x14ac:dyDescent="0.25">
      <c r="A81" s="1215"/>
      <c r="B81" s="1216"/>
      <c r="C81" s="1230" t="s">
        <v>591</v>
      </c>
      <c r="D81" s="1214"/>
      <c r="E81" s="1214"/>
      <c r="F81" s="1244"/>
      <c r="G81" s="1212"/>
    </row>
    <row r="82" spans="1:10" ht="15" x14ac:dyDescent="0.25">
      <c r="A82" s="1215"/>
      <c r="B82" s="1216"/>
      <c r="C82" s="882" t="s">
        <v>707</v>
      </c>
      <c r="D82" s="882"/>
      <c r="E82" s="882">
        <f>SUM(E41:E81)</f>
        <v>3807.7485447210001</v>
      </c>
      <c r="F82" s="882"/>
      <c r="G82" s="882">
        <f>SUM(G41:G81)</f>
        <v>4865.8561783450004</v>
      </c>
    </row>
    <row r="83" spans="1:10" ht="15" x14ac:dyDescent="0.25">
      <c r="A83" s="1215"/>
      <c r="B83" s="1216"/>
      <c r="C83" s="1230"/>
      <c r="D83" s="1214"/>
      <c r="E83" s="1214"/>
      <c r="F83" s="1213"/>
      <c r="G83" s="1214"/>
    </row>
    <row r="84" spans="1:10" ht="15" x14ac:dyDescent="0.25">
      <c r="A84" s="1215"/>
      <c r="B84" s="1216">
        <v>25</v>
      </c>
      <c r="C84" s="1217" t="s">
        <v>711</v>
      </c>
      <c r="D84" s="1214"/>
      <c r="E84" s="1214"/>
      <c r="F84" s="1213"/>
      <c r="G84" s="1214"/>
    </row>
    <row r="85" spans="1:10" ht="15" x14ac:dyDescent="0.25">
      <c r="A85" s="1215"/>
      <c r="B85" s="1216"/>
      <c r="C85" s="1224" t="s">
        <v>712</v>
      </c>
      <c r="D85" s="1214"/>
      <c r="E85" s="1212">
        <f>SUM(D86:D108)</f>
        <v>20050.547405182002</v>
      </c>
      <c r="F85" s="1213"/>
      <c r="G85" s="1212">
        <f>SUM(F86:F108)</f>
        <v>21404.356731277003</v>
      </c>
    </row>
    <row r="86" spans="1:10" ht="15" x14ac:dyDescent="0.25">
      <c r="A86" s="1209">
        <v>71110</v>
      </c>
      <c r="B86" s="1216"/>
      <c r="C86" s="1226" t="s">
        <v>1999</v>
      </c>
      <c r="D86" s="1214">
        <f>'[15]Input Sheet'!G1140</f>
        <v>13403.951509316999</v>
      </c>
      <c r="E86" s="1214"/>
      <c r="F86" s="1213">
        <f>10967.58286609+H86</f>
        <v>10970.638283917</v>
      </c>
      <c r="G86" s="1214"/>
      <c r="H86" s="1245">
        <f>+[15]restated!R35/10^7</f>
        <v>3.0554178270000003</v>
      </c>
      <c r="I86" s="1246"/>
      <c r="J86" s="1247"/>
    </row>
    <row r="87" spans="1:10" ht="15" x14ac:dyDescent="0.25">
      <c r="A87" s="1209">
        <v>71111</v>
      </c>
      <c r="B87" s="1216"/>
      <c r="C87" s="1226" t="s">
        <v>2000</v>
      </c>
      <c r="D87" s="1214">
        <f>'[15]Input Sheet'!G1141</f>
        <v>3711.0720935290001</v>
      </c>
      <c r="E87" s="1214"/>
      <c r="F87" s="1213">
        <v>4156.1774659180001</v>
      </c>
      <c r="G87" s="1214"/>
      <c r="H87" s="1248"/>
    </row>
    <row r="88" spans="1:10" ht="15" x14ac:dyDescent="0.25">
      <c r="A88" s="1209">
        <v>71112</v>
      </c>
      <c r="B88" s="1216"/>
      <c r="C88" s="1226" t="s">
        <v>2001</v>
      </c>
      <c r="D88" s="1214">
        <f>'[15]Input Sheet'!G1142</f>
        <v>1956.623511384</v>
      </c>
      <c r="E88" s="1214"/>
      <c r="F88" s="1213">
        <v>5162.8791158439999</v>
      </c>
      <c r="G88" s="1214"/>
      <c r="H88" s="1248"/>
    </row>
    <row r="89" spans="1:10" ht="14.25" customHeight="1" x14ac:dyDescent="0.25">
      <c r="A89" s="1209">
        <v>71211</v>
      </c>
      <c r="B89" s="1216"/>
      <c r="C89" s="1226" t="s">
        <v>2002</v>
      </c>
      <c r="D89" s="1214">
        <f>'[15]Input Sheet'!G1149</f>
        <v>718.14033192600004</v>
      </c>
      <c r="E89" s="1214"/>
      <c r="F89" s="1213">
        <v>818.979111042</v>
      </c>
      <c r="G89" s="1214"/>
      <c r="H89" s="1248"/>
      <c r="I89" s="1246"/>
    </row>
    <row r="90" spans="1:10" ht="15" x14ac:dyDescent="0.25">
      <c r="A90" s="1209">
        <v>71212</v>
      </c>
      <c r="B90" s="1216"/>
      <c r="C90" s="1226" t="s">
        <v>2003</v>
      </c>
      <c r="D90" s="1214">
        <f>'[15]Input Sheet'!G1150</f>
        <v>13.005932821</v>
      </c>
      <c r="E90" s="1214"/>
      <c r="F90" s="1213">
        <v>55.004993333000002</v>
      </c>
      <c r="G90" s="1214"/>
      <c r="H90" s="1248"/>
      <c r="I90" s="1246"/>
    </row>
    <row r="91" spans="1:10" ht="15" x14ac:dyDescent="0.25">
      <c r="A91" s="1209">
        <v>71213</v>
      </c>
      <c r="B91" s="1216"/>
      <c r="C91" s="1226" t="s">
        <v>2004</v>
      </c>
      <c r="D91" s="1214">
        <f>'[15]Input Sheet'!G1151</f>
        <v>8.9883333999999995E-2</v>
      </c>
      <c r="E91" s="1214"/>
      <c r="F91" s="1213">
        <v>8.9883372000000003E-2</v>
      </c>
      <c r="G91" s="1214"/>
    </row>
    <row r="92" spans="1:10" ht="15" x14ac:dyDescent="0.25">
      <c r="A92" s="1209">
        <v>71216</v>
      </c>
      <c r="B92" s="1216"/>
      <c r="C92" s="1226" t="s">
        <v>2005</v>
      </c>
      <c r="D92" s="1214">
        <f>'[15]Input Sheet'!G1153</f>
        <v>1.075124228</v>
      </c>
      <c r="E92" s="1214"/>
      <c r="F92" s="1213">
        <v>1.244713602</v>
      </c>
      <c r="G92" s="1214"/>
      <c r="H92" s="1043"/>
      <c r="I92" s="1246"/>
    </row>
    <row r="93" spans="1:10" x14ac:dyDescent="0.2">
      <c r="A93" s="1209">
        <v>71217</v>
      </c>
      <c r="C93" s="1226" t="s">
        <v>2006</v>
      </c>
      <c r="D93" s="1219">
        <f>'[15]Input Sheet'!G1154</f>
        <v>1.72199097</v>
      </c>
      <c r="E93" s="1214"/>
      <c r="F93" s="1213">
        <v>2.07395218</v>
      </c>
      <c r="G93" s="1214"/>
      <c r="H93" s="1043"/>
      <c r="I93" s="1246"/>
    </row>
    <row r="94" spans="1:10" ht="15" x14ac:dyDescent="0.25">
      <c r="A94" s="1209">
        <v>71218</v>
      </c>
      <c r="B94" s="1216"/>
      <c r="C94" s="1226" t="s">
        <v>2007</v>
      </c>
      <c r="D94" s="1214">
        <f>'[15]Input Sheet'!G1155</f>
        <v>0.16439646000000002</v>
      </c>
      <c r="E94" s="1214"/>
      <c r="F94" s="1213">
        <v>0.38544288199999999</v>
      </c>
      <c r="G94" s="1214"/>
    </row>
    <row r="95" spans="1:10" ht="15" x14ac:dyDescent="0.25">
      <c r="A95" s="1209">
        <v>71219</v>
      </c>
      <c r="B95" s="1216"/>
      <c r="C95" s="1226" t="s">
        <v>2008</v>
      </c>
      <c r="D95" s="1214">
        <f>'[15]Input Sheet'!G1156</f>
        <v>224.34180294800001</v>
      </c>
      <c r="E95" s="1214"/>
      <c r="F95" s="1213">
        <v>197.67955879100001</v>
      </c>
      <c r="G95" s="1214"/>
      <c r="H95" s="1043"/>
      <c r="I95" s="1246"/>
    </row>
    <row r="96" spans="1:10" ht="15" x14ac:dyDescent="0.25">
      <c r="A96" s="1209">
        <v>71299</v>
      </c>
      <c r="B96" s="1216"/>
      <c r="C96" s="1226" t="s">
        <v>2008</v>
      </c>
      <c r="D96" s="1214">
        <f>+'[15]Input Sheet'!G1161</f>
        <v>8.7662787900000012</v>
      </c>
      <c r="E96" s="1214"/>
      <c r="F96" s="1213">
        <v>20.094398305999999</v>
      </c>
      <c r="G96" s="1214"/>
      <c r="H96" s="1043"/>
      <c r="I96" s="1246"/>
    </row>
    <row r="97" spans="1:7" ht="15" x14ac:dyDescent="0.25">
      <c r="A97" s="1209">
        <v>71410</v>
      </c>
      <c r="B97" s="1216"/>
      <c r="C97" s="1226" t="s">
        <v>2009</v>
      </c>
      <c r="D97" s="1214">
        <f>'[15]Input Sheet'!G1165</f>
        <v>33.622947949999997</v>
      </c>
      <c r="E97" s="1214"/>
      <c r="F97" s="1213">
        <v>20.148318773</v>
      </c>
      <c r="G97" s="1214"/>
    </row>
    <row r="98" spans="1:7" ht="15" x14ac:dyDescent="0.25">
      <c r="A98" s="1209">
        <v>71990</v>
      </c>
      <c r="B98" s="1216"/>
      <c r="C98" s="1226" t="s">
        <v>2010</v>
      </c>
      <c r="D98" s="1214">
        <f>'[15]Input Sheet'!G1174</f>
        <v>0</v>
      </c>
      <c r="E98" s="1214"/>
      <c r="F98" s="1213">
        <v>0</v>
      </c>
      <c r="G98" s="1214"/>
    </row>
    <row r="99" spans="1:7" ht="15" x14ac:dyDescent="0.25">
      <c r="A99" s="1209">
        <v>71991</v>
      </c>
      <c r="B99" s="1216"/>
      <c r="C99" s="1226" t="s">
        <v>2011</v>
      </c>
      <c r="D99" s="1214">
        <f>'[15]Input Sheet'!G1175</f>
        <v>-24.584045776</v>
      </c>
      <c r="E99" s="1214"/>
      <c r="F99" s="1213">
        <v>-5.774400902</v>
      </c>
      <c r="G99" s="1214"/>
    </row>
    <row r="100" spans="1:7" ht="14.25" customHeight="1" x14ac:dyDescent="0.25">
      <c r="A100" s="1209">
        <v>71997</v>
      </c>
      <c r="B100" s="1216"/>
      <c r="C100" s="1226" t="s">
        <v>2012</v>
      </c>
      <c r="D100" s="1214">
        <f>'[15]Input Sheet'!G1178</f>
        <v>-0.159202125</v>
      </c>
      <c r="E100" s="1214"/>
      <c r="F100" s="1213">
        <v>-0.46695213200000002</v>
      </c>
      <c r="G100" s="1214"/>
    </row>
    <row r="101" spans="1:7" ht="15" x14ac:dyDescent="0.25">
      <c r="A101" s="1209">
        <v>72101</v>
      </c>
      <c r="B101" s="1216"/>
      <c r="C101" s="1226" t="s">
        <v>2013</v>
      </c>
      <c r="D101" s="1214">
        <f>'[15]Input Sheet'!G1181</f>
        <v>0</v>
      </c>
      <c r="E101" s="1214"/>
      <c r="F101" s="1213">
        <v>1.2520435999999999E-2</v>
      </c>
      <c r="G101" s="1214"/>
    </row>
    <row r="102" spans="1:7" ht="15" x14ac:dyDescent="0.25">
      <c r="A102" s="1209">
        <v>72202</v>
      </c>
      <c r="B102" s="1216"/>
      <c r="C102" s="1226" t="s">
        <v>2014</v>
      </c>
      <c r="D102" s="1219">
        <f>'[15]Input Sheet'!G1184</f>
        <v>0</v>
      </c>
      <c r="E102" s="1219"/>
      <c r="F102" s="1213">
        <v>0</v>
      </c>
      <c r="G102" s="1214"/>
    </row>
    <row r="103" spans="1:7" ht="15" x14ac:dyDescent="0.25">
      <c r="A103" s="1209">
        <v>79110</v>
      </c>
      <c r="B103" s="1216"/>
      <c r="C103" s="1226" t="s">
        <v>2015</v>
      </c>
      <c r="D103" s="1219">
        <f>'[15]Input Sheet'!G1330</f>
        <v>4.0751540000000001E-3</v>
      </c>
      <c r="E103" s="1219"/>
      <c r="F103" s="1213">
        <v>1.00359E-3</v>
      </c>
      <c r="G103" s="1214"/>
    </row>
    <row r="104" spans="1:7" ht="15" x14ac:dyDescent="0.25">
      <c r="A104" s="1209">
        <v>79125</v>
      </c>
      <c r="B104" s="1216"/>
      <c r="C104" s="1226" t="s">
        <v>2016</v>
      </c>
      <c r="D104" s="1219">
        <f>'[15]Input Sheet'!G1332</f>
        <v>2.7130730430000001</v>
      </c>
      <c r="E104" s="1219"/>
      <c r="F104" s="1213">
        <v>4.5835384890000004</v>
      </c>
      <c r="G104" s="1214"/>
    </row>
    <row r="105" spans="1:7" ht="15" x14ac:dyDescent="0.25">
      <c r="A105" s="1209">
        <v>79126</v>
      </c>
      <c r="B105" s="1216"/>
      <c r="C105" s="1226" t="s">
        <v>2017</v>
      </c>
      <c r="D105" s="1219">
        <f>'[15]Input Sheet'!G1333</f>
        <v>-2.2987709999999998E-3</v>
      </c>
      <c r="E105" s="1219"/>
      <c r="F105" s="1213">
        <v>9.3289635999999995E-2</v>
      </c>
      <c r="G105" s="1214"/>
    </row>
    <row r="106" spans="1:7" ht="15" x14ac:dyDescent="0.25">
      <c r="A106" s="1209">
        <v>80100</v>
      </c>
      <c r="B106" s="1216"/>
      <c r="C106" s="1226" t="s">
        <v>2018</v>
      </c>
      <c r="D106" s="1219">
        <f>'[15]Input Sheet'!G1351</f>
        <v>0</v>
      </c>
      <c r="E106" s="1219"/>
      <c r="F106" s="1213">
        <v>0</v>
      </c>
      <c r="G106" s="1214"/>
    </row>
    <row r="107" spans="1:7" ht="15" x14ac:dyDescent="0.25">
      <c r="A107" s="1209">
        <v>80200</v>
      </c>
      <c r="B107" s="1216"/>
      <c r="C107" s="1226" t="s">
        <v>2019</v>
      </c>
      <c r="D107" s="1219">
        <f>'[15]Input Sheet'!G1352</f>
        <v>0</v>
      </c>
      <c r="E107" s="1219"/>
      <c r="F107" s="1213">
        <v>0.51249420000000001</v>
      </c>
      <c r="G107" s="1214"/>
    </row>
    <row r="108" spans="1:7" ht="15" x14ac:dyDescent="0.25">
      <c r="A108" s="1209">
        <v>80300</v>
      </c>
      <c r="B108" s="1216"/>
      <c r="C108" s="1226" t="s">
        <v>2020</v>
      </c>
      <c r="D108" s="1219">
        <f>'[15]Input Sheet'!G1353</f>
        <v>0</v>
      </c>
      <c r="E108" s="1219"/>
      <c r="F108" s="1213">
        <v>0</v>
      </c>
      <c r="G108" s="1214"/>
    </row>
    <row r="109" spans="1:7" ht="15" x14ac:dyDescent="0.25">
      <c r="A109" s="1215"/>
      <c r="B109" s="1216"/>
      <c r="C109" s="1226"/>
      <c r="D109" s="1219"/>
      <c r="E109" s="1219"/>
      <c r="F109" s="1213"/>
      <c r="G109" s="1214"/>
    </row>
    <row r="110" spans="1:7" ht="15" x14ac:dyDescent="0.25">
      <c r="A110" s="1215">
        <v>71301</v>
      </c>
      <c r="B110" s="1216"/>
      <c r="C110" s="1026" t="s">
        <v>2021</v>
      </c>
      <c r="D110" s="1249"/>
      <c r="E110" s="1219">
        <f>+'[15]Input Sheet'!G1162</f>
        <v>218.38663527800003</v>
      </c>
      <c r="F110" s="1213"/>
      <c r="G110" s="1214">
        <v>211.03443160200001</v>
      </c>
    </row>
    <row r="111" spans="1:7" ht="15" x14ac:dyDescent="0.25">
      <c r="A111" s="1215"/>
      <c r="B111" s="1216"/>
      <c r="C111" s="1209"/>
      <c r="D111" s="1219"/>
      <c r="E111" s="1219"/>
      <c r="F111" s="1213"/>
      <c r="G111" s="1214"/>
    </row>
    <row r="112" spans="1:7" ht="15" x14ac:dyDescent="0.25">
      <c r="A112" s="1215">
        <v>71302</v>
      </c>
      <c r="B112" s="1216"/>
      <c r="C112" s="1209" t="s">
        <v>2022</v>
      </c>
      <c r="D112" s="1219"/>
      <c r="E112" s="1219">
        <f>+'[15]Input Sheet'!G1163</f>
        <v>467.46373670000003</v>
      </c>
      <c r="F112" s="1213"/>
      <c r="G112" s="1214">
        <v>278.2720339</v>
      </c>
    </row>
    <row r="113" spans="1:8" ht="15" x14ac:dyDescent="0.25">
      <c r="A113" s="1215"/>
      <c r="B113" s="1216"/>
      <c r="C113" s="1209"/>
      <c r="D113" s="1214"/>
      <c r="E113" s="1214"/>
      <c r="F113" s="1213"/>
      <c r="G113" s="1214"/>
    </row>
    <row r="114" spans="1:8" x14ac:dyDescent="0.2">
      <c r="A114" s="1250">
        <v>71351</v>
      </c>
      <c r="B114" s="1251"/>
      <c r="C114" s="1252" t="s">
        <v>714</v>
      </c>
      <c r="D114" s="1253"/>
      <c r="E114" s="1253">
        <f>+'[15]Input Sheet'!G1164</f>
        <v>88.253164897000005</v>
      </c>
      <c r="F114" s="1254"/>
      <c r="G114" s="1253"/>
      <c r="H114" s="1251"/>
    </row>
    <row r="115" spans="1:8" ht="15" x14ac:dyDescent="0.25">
      <c r="A115" s="1215"/>
      <c r="B115" s="1216"/>
      <c r="C115" s="1255"/>
      <c r="D115" s="1214"/>
      <c r="E115" s="1214"/>
      <c r="F115" s="1213"/>
      <c r="G115" s="1214"/>
    </row>
    <row r="116" spans="1:8" ht="15" x14ac:dyDescent="0.25">
      <c r="A116" s="1215"/>
      <c r="B116" s="1216"/>
      <c r="C116" s="1224" t="s">
        <v>715</v>
      </c>
      <c r="D116" s="1214"/>
      <c r="E116" s="1214">
        <f>SUM(D117:D118)</f>
        <v>937.80853076000005</v>
      </c>
      <c r="F116" s="1213"/>
      <c r="G116" s="1214">
        <f>SUM(F117:F118)</f>
        <v>945.23648727700004</v>
      </c>
    </row>
    <row r="117" spans="1:8" ht="15" x14ac:dyDescent="0.25">
      <c r="A117" s="1209">
        <v>71140</v>
      </c>
      <c r="B117" s="1216"/>
      <c r="C117" s="1226" t="s">
        <v>2023</v>
      </c>
      <c r="D117" s="1214">
        <f>'[15]Input Sheet'!G1146</f>
        <v>937.80853076000005</v>
      </c>
      <c r="E117" s="1214"/>
      <c r="F117" s="1214">
        <v>945.23648727700004</v>
      </c>
      <c r="G117" s="1214"/>
    </row>
    <row r="118" spans="1:8" ht="15" x14ac:dyDescent="0.25">
      <c r="A118" s="1209">
        <v>71992</v>
      </c>
      <c r="B118" s="1216"/>
      <c r="C118" s="1226" t="s">
        <v>2024</v>
      </c>
      <c r="D118" s="1214">
        <f>'[15]Input Sheet'!G1176</f>
        <v>0</v>
      </c>
      <c r="E118" s="1214"/>
      <c r="F118" s="1214">
        <v>0</v>
      </c>
      <c r="G118" s="1214"/>
    </row>
    <row r="119" spans="1:8" ht="15" x14ac:dyDescent="0.25">
      <c r="A119" s="1215"/>
      <c r="B119" s="1216"/>
      <c r="C119" s="1218"/>
      <c r="D119" s="1214"/>
      <c r="E119" s="1214"/>
      <c r="F119" s="1213"/>
      <c r="G119" s="1214"/>
    </row>
    <row r="120" spans="1:8" ht="15" x14ac:dyDescent="0.25">
      <c r="A120" s="1215"/>
      <c r="B120" s="1216"/>
      <c r="C120" s="1224" t="s">
        <v>716</v>
      </c>
      <c r="D120" s="1214"/>
      <c r="E120" s="1214">
        <f>SUM(D121:D129)</f>
        <v>456.46779770100011</v>
      </c>
      <c r="F120" s="1213"/>
      <c r="G120" s="1214">
        <f>SUM(F121:F129)</f>
        <v>822.98541388900003</v>
      </c>
    </row>
    <row r="121" spans="1:8" ht="15" x14ac:dyDescent="0.25">
      <c r="A121" s="1209">
        <v>71120</v>
      </c>
      <c r="B121" s="1216"/>
      <c r="C121" s="1226" t="s">
        <v>2025</v>
      </c>
      <c r="D121" s="1214">
        <f>'[15]Input Sheet'!G1143</f>
        <v>309.48841785300004</v>
      </c>
      <c r="E121" s="1214"/>
      <c r="F121" s="1213">
        <v>652.89816069400001</v>
      </c>
      <c r="G121" s="1214"/>
    </row>
    <row r="122" spans="1:8" ht="15" x14ac:dyDescent="0.25">
      <c r="A122" s="1209">
        <v>71121</v>
      </c>
      <c r="B122" s="1216"/>
      <c r="C122" s="1226" t="s">
        <v>2026</v>
      </c>
      <c r="D122" s="1214">
        <f>'[15]Input Sheet'!G1144</f>
        <v>93.851429574000008</v>
      </c>
      <c r="E122" s="1214"/>
      <c r="F122" s="1213">
        <v>119.78515396900001</v>
      </c>
      <c r="G122" s="1214"/>
    </row>
    <row r="123" spans="1:8" ht="15" x14ac:dyDescent="0.25">
      <c r="A123" s="1209">
        <v>71122</v>
      </c>
      <c r="B123" s="1216"/>
      <c r="C123" s="1226" t="s">
        <v>2027</v>
      </c>
      <c r="D123" s="1214">
        <f>'[15]Input Sheet'!G1145</f>
        <v>42.665081972000003</v>
      </c>
      <c r="E123" s="1214"/>
      <c r="F123" s="1213">
        <v>49.747377733</v>
      </c>
      <c r="G123" s="1214"/>
    </row>
    <row r="124" spans="1:8" ht="15" x14ac:dyDescent="0.25">
      <c r="A124" s="1209">
        <v>71141</v>
      </c>
      <c r="B124" s="1216"/>
      <c r="C124" s="1226" t="s">
        <v>2028</v>
      </c>
      <c r="D124" s="1214">
        <f>'[15]Input Sheet'!G1147</f>
        <v>0.34364518599999999</v>
      </c>
      <c r="E124" s="1214"/>
      <c r="F124" s="1213">
        <v>0.51784466200000001</v>
      </c>
      <c r="G124" s="1214"/>
    </row>
    <row r="125" spans="1:8" ht="15" x14ac:dyDescent="0.25">
      <c r="A125" s="1209">
        <v>71221</v>
      </c>
      <c r="B125" s="1216"/>
      <c r="C125" s="1226" t="s">
        <v>2029</v>
      </c>
      <c r="D125" s="1214">
        <f>'[15]Input Sheet'!G1157</f>
        <v>0</v>
      </c>
      <c r="E125" s="1214"/>
      <c r="F125" s="1213">
        <v>0</v>
      </c>
      <c r="G125" s="1214"/>
    </row>
    <row r="126" spans="1:8" ht="15" x14ac:dyDescent="0.25">
      <c r="A126" s="1209">
        <v>71222</v>
      </c>
      <c r="B126" s="1216"/>
      <c r="C126" s="1226" t="s">
        <v>2030</v>
      </c>
      <c r="D126" s="1214">
        <f>'[15]Input Sheet'!G1158</f>
        <v>0.1043804</v>
      </c>
      <c r="E126" s="1214"/>
      <c r="F126" s="1213">
        <v>0.24358579999999999</v>
      </c>
      <c r="G126" s="1214"/>
    </row>
    <row r="127" spans="1:8" ht="15" x14ac:dyDescent="0.25">
      <c r="A127" s="1209">
        <v>71224</v>
      </c>
      <c r="B127" s="1216"/>
      <c r="C127" s="1226" t="s">
        <v>2031</v>
      </c>
      <c r="D127" s="1219">
        <f>'[15]Input Sheet'!G1159</f>
        <v>0</v>
      </c>
      <c r="E127" s="1219"/>
      <c r="F127" s="1249">
        <v>1.4205167999999999E-2</v>
      </c>
      <c r="G127" s="1219"/>
    </row>
    <row r="128" spans="1:8" ht="15" x14ac:dyDescent="0.25">
      <c r="A128" s="1209">
        <v>71420</v>
      </c>
      <c r="B128" s="1216"/>
      <c r="C128" s="1226" t="s">
        <v>2032</v>
      </c>
      <c r="D128" s="1214">
        <f>'[15]Input Sheet'!G1166</f>
        <v>10.091643712</v>
      </c>
      <c r="E128" s="1214"/>
      <c r="F128" s="1213">
        <v>0</v>
      </c>
      <c r="G128" s="1214"/>
    </row>
    <row r="129" spans="1:10" ht="15" x14ac:dyDescent="0.25">
      <c r="A129" s="1209">
        <v>71993</v>
      </c>
      <c r="B129" s="1216"/>
      <c r="C129" s="1226" t="s">
        <v>2033</v>
      </c>
      <c r="D129" s="1214">
        <f>'[15]Input Sheet'!G1177</f>
        <v>-7.6800995999999996E-2</v>
      </c>
      <c r="E129" s="1214"/>
      <c r="F129" s="1213">
        <v>-0.22091413700000001</v>
      </c>
      <c r="G129" s="1214"/>
    </row>
    <row r="130" spans="1:10" ht="15" x14ac:dyDescent="0.25">
      <c r="A130" s="1215"/>
      <c r="B130" s="1216"/>
      <c r="C130" s="1218"/>
      <c r="D130" s="1214"/>
      <c r="E130" s="1214"/>
      <c r="F130" s="1213"/>
      <c r="G130" s="1214"/>
    </row>
    <row r="131" spans="1:10" ht="15" x14ac:dyDescent="0.25">
      <c r="A131" s="1215"/>
      <c r="B131" s="1216"/>
      <c r="C131" s="1224" t="s">
        <v>717</v>
      </c>
      <c r="D131" s="1214"/>
      <c r="E131" s="1214">
        <f>SUM(D132:D136)</f>
        <v>456.08801505600002</v>
      </c>
      <c r="F131" s="1213"/>
      <c r="G131" s="1214">
        <f>SUM(F132:F136)</f>
        <v>325.87194726300004</v>
      </c>
    </row>
    <row r="132" spans="1:10" ht="14.25" customHeight="1" x14ac:dyDescent="0.25">
      <c r="A132" s="1209">
        <v>71157</v>
      </c>
      <c r="B132" s="1216"/>
      <c r="C132" s="1226" t="s">
        <v>2034</v>
      </c>
      <c r="D132" s="1214">
        <f>'[15]Input Sheet'!G1148</f>
        <v>0.72392551199999999</v>
      </c>
      <c r="E132" s="1214"/>
      <c r="F132" s="1213">
        <v>3.650187125</v>
      </c>
      <c r="G132" s="1214"/>
    </row>
    <row r="133" spans="1:10" ht="15" x14ac:dyDescent="0.25">
      <c r="A133" s="1209">
        <v>71500</v>
      </c>
      <c r="B133" s="1216"/>
      <c r="C133" s="1226" t="s">
        <v>2035</v>
      </c>
      <c r="D133" s="1214">
        <f>'[15]Input Sheet'!G1168</f>
        <v>200.73273381999999</v>
      </c>
      <c r="E133" s="1214"/>
      <c r="F133" s="1213">
        <v>144.06102144300002</v>
      </c>
      <c r="G133" s="1214"/>
    </row>
    <row r="134" spans="1:10" ht="15" x14ac:dyDescent="0.25">
      <c r="A134" s="1209">
        <v>71501</v>
      </c>
      <c r="B134" s="1216"/>
      <c r="C134" s="1226" t="s">
        <v>2036</v>
      </c>
      <c r="D134" s="1214">
        <f>'[15]Input Sheet'!G1169</f>
        <v>130.4608887</v>
      </c>
      <c r="E134" s="1214"/>
      <c r="F134" s="1213">
        <f>105.67412043+H134</f>
        <v>107.38632273</v>
      </c>
      <c r="G134" s="1214"/>
      <c r="H134" s="1234">
        <f>+[15]restated!R36/10^7</f>
        <v>1.7122023</v>
      </c>
    </row>
    <row r="135" spans="1:10" ht="15" x14ac:dyDescent="0.25">
      <c r="A135" s="1209">
        <v>71504</v>
      </c>
      <c r="B135" s="1216"/>
      <c r="C135" s="1226" t="s">
        <v>2037</v>
      </c>
      <c r="D135" s="1214">
        <f>'[15]Input Sheet'!G1170</f>
        <v>123.93947000799999</v>
      </c>
      <c r="E135" s="1214"/>
      <c r="F135" s="1213">
        <v>70.723579380999993</v>
      </c>
      <c r="G135" s="1214"/>
    </row>
    <row r="136" spans="1:10" ht="15" x14ac:dyDescent="0.25">
      <c r="A136" s="1209">
        <v>79127</v>
      </c>
      <c r="B136" s="1216"/>
      <c r="C136" s="1226" t="s">
        <v>2038</v>
      </c>
      <c r="D136" s="1214">
        <f>'[15]Input Sheet'!G1334</f>
        <v>0.23099701600000003</v>
      </c>
      <c r="E136" s="1214"/>
      <c r="F136" s="1213">
        <v>5.0836584000000004E-2</v>
      </c>
      <c r="G136" s="1214"/>
      <c r="I136" s="243"/>
    </row>
    <row r="137" spans="1:10" ht="15" x14ac:dyDescent="0.25">
      <c r="A137" s="1215"/>
      <c r="B137" s="1216"/>
      <c r="C137" s="1218"/>
      <c r="D137" s="1214"/>
      <c r="E137" s="1214"/>
      <c r="F137" s="1213"/>
      <c r="G137" s="1214"/>
    </row>
    <row r="138" spans="1:10" ht="15" x14ac:dyDescent="0.25">
      <c r="A138" s="1215"/>
      <c r="B138" s="1216"/>
      <c r="C138" s="882" t="s">
        <v>7</v>
      </c>
      <c r="D138" s="882"/>
      <c r="E138" s="882">
        <f>SUM(E85:E137)</f>
        <v>22675.015285574002</v>
      </c>
      <c r="F138" s="882"/>
      <c r="G138" s="882">
        <f>SUM(G85:G137)</f>
        <v>23987.757045208004</v>
      </c>
    </row>
    <row r="139" spans="1:10" ht="15" x14ac:dyDescent="0.25">
      <c r="A139" s="1215"/>
      <c r="B139" s="1216"/>
      <c r="C139" s="1230"/>
      <c r="D139" s="1214"/>
      <c r="E139" s="1214"/>
      <c r="F139" s="1213"/>
      <c r="G139" s="1214"/>
      <c r="J139" s="243"/>
    </row>
    <row r="140" spans="1:10" ht="15" x14ac:dyDescent="0.25">
      <c r="A140" s="1215"/>
      <c r="B140" s="1216">
        <v>26</v>
      </c>
      <c r="C140" s="1217" t="s">
        <v>719</v>
      </c>
      <c r="D140" s="1214"/>
      <c r="E140" s="1214"/>
      <c r="F140" s="1213"/>
      <c r="G140" s="1214"/>
    </row>
    <row r="141" spans="1:10" ht="15" x14ac:dyDescent="0.25">
      <c r="A141" s="1215"/>
      <c r="B141" s="1216"/>
      <c r="C141" s="1224" t="s">
        <v>2039</v>
      </c>
      <c r="D141" s="1214"/>
      <c r="E141" s="1219">
        <f>SUM(D142:D157)</f>
        <v>1603.3047814040001</v>
      </c>
      <c r="F141" s="1213"/>
      <c r="G141" s="1219">
        <f>SUM(F142:F157)</f>
        <v>1268.3000814499999</v>
      </c>
      <c r="H141" s="1238"/>
    </row>
    <row r="142" spans="1:10" ht="15" x14ac:dyDescent="0.25">
      <c r="A142" s="1209">
        <v>75110</v>
      </c>
      <c r="B142" s="1216"/>
      <c r="C142" s="1226" t="s">
        <v>2040</v>
      </c>
      <c r="D142" s="1214">
        <f>'[15]Input Sheet'!G1198</f>
        <v>986.46955894400003</v>
      </c>
      <c r="E142" s="1214"/>
      <c r="F142" s="1213">
        <v>713.17355818599992</v>
      </c>
      <c r="G142" s="1214"/>
      <c r="H142" s="1238"/>
      <c r="J142" s="1246"/>
    </row>
    <row r="143" spans="1:10" ht="15" x14ac:dyDescent="0.25">
      <c r="A143" s="1209">
        <v>75120</v>
      </c>
      <c r="B143" s="1216"/>
      <c r="C143" s="1226" t="s">
        <v>2041</v>
      </c>
      <c r="D143" s="1219">
        <f>'[15]Input Sheet'!G1199</f>
        <v>0</v>
      </c>
      <c r="E143" s="1214"/>
      <c r="F143" s="1213">
        <v>0</v>
      </c>
      <c r="G143" s="1214"/>
      <c r="J143" s="1246"/>
    </row>
    <row r="144" spans="1:10" ht="15" x14ac:dyDescent="0.25">
      <c r="A144" s="1209">
        <v>75170</v>
      </c>
      <c r="B144" s="1216"/>
      <c r="C144" s="1226" t="s">
        <v>2042</v>
      </c>
      <c r="D144" s="1214">
        <f>'[15]Input Sheet'!G1200</f>
        <v>49.711704500000003</v>
      </c>
      <c r="E144" s="1214"/>
      <c r="F144" s="1213">
        <v>44.435828299999997</v>
      </c>
      <c r="G144" s="1214"/>
      <c r="J144" s="1246"/>
    </row>
    <row r="145" spans="1:10" ht="15" x14ac:dyDescent="0.25">
      <c r="A145" s="1209">
        <v>75210</v>
      </c>
      <c r="B145" s="1216"/>
      <c r="C145" s="1226" t="s">
        <v>2043</v>
      </c>
      <c r="D145" s="1214">
        <f>'[15]Input Sheet'!G1201</f>
        <v>135.840948978</v>
      </c>
      <c r="E145" s="1214"/>
      <c r="F145" s="1213">
        <v>130.66704280799999</v>
      </c>
      <c r="G145" s="1214"/>
      <c r="J145" s="1246"/>
    </row>
    <row r="146" spans="1:10" ht="15" x14ac:dyDescent="0.25">
      <c r="A146" s="1209">
        <v>75310</v>
      </c>
      <c r="B146" s="1216"/>
      <c r="C146" s="1226" t="s">
        <v>2044</v>
      </c>
      <c r="D146" s="1214">
        <f>'[15]Input Sheet'!G1202</f>
        <v>320.22736824000003</v>
      </c>
      <c r="E146" s="1214"/>
      <c r="F146" s="1213">
        <v>269.04486934699997</v>
      </c>
      <c r="G146" s="1214"/>
      <c r="J146" s="1246"/>
    </row>
    <row r="147" spans="1:10" ht="15" x14ac:dyDescent="0.25">
      <c r="A147" s="1209">
        <v>75410</v>
      </c>
      <c r="B147" s="1216"/>
      <c r="C147" s="1226" t="s">
        <v>2045</v>
      </c>
      <c r="D147" s="1214">
        <f>'[15]Input Sheet'!G1203</f>
        <v>82.883312532000005</v>
      </c>
      <c r="E147" s="1214"/>
      <c r="F147" s="1213">
        <v>83.213969134999999</v>
      </c>
      <c r="G147" s="1214"/>
      <c r="J147" s="1246"/>
    </row>
    <row r="148" spans="1:10" ht="15" x14ac:dyDescent="0.25">
      <c r="A148" s="1209">
        <v>75411</v>
      </c>
      <c r="B148" s="1216"/>
      <c r="C148" s="1226" t="s">
        <v>2046</v>
      </c>
      <c r="D148" s="1214">
        <f>'[15]Input Sheet'!G1204</f>
        <v>5.1367000000000001E-3</v>
      </c>
      <c r="E148" s="1214"/>
      <c r="F148" s="1213">
        <v>5.2281999999999997E-3</v>
      </c>
      <c r="G148" s="1214"/>
      <c r="J148" s="1246"/>
    </row>
    <row r="149" spans="1:10" ht="15" x14ac:dyDescent="0.25">
      <c r="A149" s="1209">
        <v>75412</v>
      </c>
      <c r="B149" s="1216"/>
      <c r="C149" s="1226" t="s">
        <v>2047</v>
      </c>
      <c r="D149" s="1214">
        <f>'[15]Input Sheet'!G1205</f>
        <v>2.0779359930000001</v>
      </c>
      <c r="E149" s="1214"/>
      <c r="F149" s="1213">
        <v>2.1117808999999998</v>
      </c>
      <c r="G149" s="1214"/>
      <c r="J149" s="1246"/>
    </row>
    <row r="150" spans="1:10" ht="15" x14ac:dyDescent="0.25">
      <c r="A150" s="1209">
        <v>75428</v>
      </c>
      <c r="B150" s="1216"/>
      <c r="C150" s="1226" t="s">
        <v>2048</v>
      </c>
      <c r="D150" s="1214">
        <f>'[15]Input Sheet'!G1206</f>
        <v>0.151212972</v>
      </c>
      <c r="E150" s="1214"/>
      <c r="F150" s="1213">
        <v>0.16690042399999999</v>
      </c>
      <c r="G150" s="1214"/>
      <c r="J150" s="1246"/>
    </row>
    <row r="151" spans="1:10" ht="15" x14ac:dyDescent="0.25">
      <c r="A151" s="1209">
        <v>75429</v>
      </c>
      <c r="B151" s="1216"/>
      <c r="C151" s="1241" t="s">
        <v>2049</v>
      </c>
      <c r="D151" s="1214">
        <f>'[15]Input Sheet'!G1207</f>
        <v>1.159812697</v>
      </c>
      <c r="E151" s="1214"/>
      <c r="F151" s="1213">
        <v>0.8156504</v>
      </c>
      <c r="G151" s="1214"/>
      <c r="J151" s="1246"/>
    </row>
    <row r="152" spans="1:10" ht="15" x14ac:dyDescent="0.25">
      <c r="A152" s="1209">
        <v>75430</v>
      </c>
      <c r="B152" s="1216"/>
      <c r="C152" s="1241" t="s">
        <v>2050</v>
      </c>
      <c r="D152" s="1214">
        <f>'[15]Input Sheet'!G1208</f>
        <v>6.4990025549999997</v>
      </c>
      <c r="E152" s="1214"/>
      <c r="F152" s="1213">
        <v>7.2638167999999999</v>
      </c>
      <c r="G152" s="1214"/>
      <c r="J152" s="1246"/>
    </row>
    <row r="153" spans="1:10" ht="15" x14ac:dyDescent="0.25">
      <c r="A153" s="1209">
        <v>75434</v>
      </c>
      <c r="B153" s="1216"/>
      <c r="C153" s="1226" t="s">
        <v>2051</v>
      </c>
      <c r="D153" s="1214">
        <f>'[15]Input Sheet'!G1209</f>
        <v>1.1956E-3</v>
      </c>
      <c r="E153" s="1214"/>
      <c r="F153" s="1213">
        <v>0.47499999999999998</v>
      </c>
      <c r="G153" s="1214"/>
      <c r="J153" s="1246"/>
    </row>
    <row r="154" spans="1:10" ht="15" x14ac:dyDescent="0.25">
      <c r="A154" s="1209">
        <v>75510</v>
      </c>
      <c r="B154" s="1216"/>
      <c r="C154" s="1226" t="s">
        <v>2052</v>
      </c>
      <c r="D154" s="1214">
        <f>'[15]Input Sheet'!G1210</f>
        <v>18.427996693000001</v>
      </c>
      <c r="E154" s="1214"/>
      <c r="F154" s="1213">
        <v>16.267168049999999</v>
      </c>
      <c r="G154" s="1214"/>
      <c r="J154" s="1246"/>
    </row>
    <row r="155" spans="1:10" ht="15" x14ac:dyDescent="0.25">
      <c r="A155" s="1209">
        <v>75520</v>
      </c>
      <c r="B155" s="1216"/>
      <c r="C155" s="1226" t="s">
        <v>2053</v>
      </c>
      <c r="D155" s="1214">
        <f>'[15]Input Sheet'!G1211</f>
        <v>-0.15040500000000001</v>
      </c>
      <c r="E155" s="1214"/>
      <c r="F155" s="1213">
        <v>5.9268899999999999E-2</v>
      </c>
      <c r="G155" s="1214"/>
    </row>
    <row r="156" spans="1:10" ht="15" x14ac:dyDescent="0.25">
      <c r="A156" s="1216">
        <v>75521</v>
      </c>
      <c r="B156" s="1216"/>
      <c r="C156" s="1226" t="s">
        <v>2054</v>
      </c>
      <c r="D156" s="1214">
        <f>'[15]Input Sheet'!G1212</f>
        <v>0</v>
      </c>
      <c r="E156" s="1214"/>
      <c r="F156" s="1213">
        <v>0.6</v>
      </c>
      <c r="G156" s="1214"/>
    </row>
    <row r="157" spans="1:10" ht="15" x14ac:dyDescent="0.25">
      <c r="A157" s="1256">
        <v>75871</v>
      </c>
      <c r="B157" s="1257"/>
      <c r="C157" s="1258" t="s">
        <v>2055</v>
      </c>
      <c r="D157" s="1259">
        <f>'[15]Input Sheet'!G1240</f>
        <v>0</v>
      </c>
      <c r="E157" s="1214"/>
      <c r="F157" s="1213"/>
      <c r="G157" s="1214"/>
    </row>
    <row r="158" spans="1:10" ht="15" x14ac:dyDescent="0.25">
      <c r="A158" s="1215"/>
      <c r="B158" s="1216"/>
      <c r="C158" s="1218"/>
      <c r="D158" s="1214"/>
      <c r="E158" s="1214"/>
      <c r="F158" s="1213"/>
      <c r="G158" s="1214"/>
    </row>
    <row r="159" spans="1:10" ht="15" x14ac:dyDescent="0.25">
      <c r="A159" s="1209">
        <v>75810</v>
      </c>
      <c r="B159" s="1216"/>
      <c r="C159" s="1260" t="s">
        <v>2056</v>
      </c>
      <c r="D159" s="1214"/>
      <c r="E159" s="1214">
        <f>'[15]Input Sheet'!G1232</f>
        <v>123.8299155</v>
      </c>
      <c r="F159" s="1213"/>
      <c r="G159" s="1214">
        <v>123.9564458</v>
      </c>
    </row>
    <row r="160" spans="1:10" ht="45" x14ac:dyDescent="0.25">
      <c r="A160" s="1215"/>
      <c r="B160" s="1216"/>
      <c r="C160" s="1260" t="s">
        <v>2057</v>
      </c>
      <c r="D160" s="1214"/>
      <c r="E160" s="1214">
        <f>SUM(D161:D166)</f>
        <v>434.952790123</v>
      </c>
      <c r="F160" s="1213"/>
      <c r="G160" s="1214">
        <f>SUM(F161:F166)</f>
        <v>214.22030843100001</v>
      </c>
      <c r="I160" s="1238"/>
    </row>
    <row r="161" spans="1:9" ht="15" x14ac:dyDescent="0.25">
      <c r="A161" s="1209">
        <v>75617</v>
      </c>
      <c r="B161" s="1216"/>
      <c r="C161" s="1226" t="s">
        <v>2058</v>
      </c>
      <c r="D161" s="1214">
        <f>'[15]Input Sheet'!G1215</f>
        <v>245.87655565</v>
      </c>
      <c r="E161" s="1214"/>
      <c r="F161" s="1213">
        <v>57.8728677</v>
      </c>
      <c r="G161" s="1214"/>
      <c r="I161" s="1238"/>
    </row>
    <row r="162" spans="1:9" ht="15" x14ac:dyDescent="0.25">
      <c r="A162" s="1209">
        <v>75870</v>
      </c>
      <c r="B162" s="1216"/>
      <c r="C162" s="1226" t="s">
        <v>2059</v>
      </c>
      <c r="D162" s="1214">
        <f>'[15]Input Sheet'!G1239</f>
        <v>55.098440410000002</v>
      </c>
      <c r="E162" s="1214"/>
      <c r="F162" s="1213">
        <v>73.282537300000001</v>
      </c>
      <c r="G162" s="1214"/>
    </row>
    <row r="163" spans="1:9" ht="15" x14ac:dyDescent="0.25">
      <c r="A163" s="1209">
        <v>75840</v>
      </c>
      <c r="B163" s="1216"/>
      <c r="C163" s="1226" t="s">
        <v>2060</v>
      </c>
      <c r="D163" s="1214">
        <f>'[15]Input Sheet'!G1236-E194</f>
        <v>83.591809262999988</v>
      </c>
      <c r="E163" s="1214"/>
      <c r="F163" s="1239">
        <v>81.004461264999989</v>
      </c>
      <c r="G163" s="1214"/>
    </row>
    <row r="164" spans="1:9" ht="15" x14ac:dyDescent="0.25">
      <c r="A164" s="1209">
        <v>75811</v>
      </c>
      <c r="B164" s="1216"/>
      <c r="C164" s="1226" t="s">
        <v>2061</v>
      </c>
      <c r="D164" s="1214">
        <f>'[15]Input Sheet'!G1233</f>
        <v>50.16</v>
      </c>
      <c r="E164" s="1214"/>
      <c r="F164" s="1213">
        <v>0</v>
      </c>
      <c r="G164" s="1214"/>
    </row>
    <row r="165" spans="1:9" ht="15.75" customHeight="1" x14ac:dyDescent="0.25">
      <c r="A165" s="1209">
        <v>75812</v>
      </c>
      <c r="B165" s="1216"/>
      <c r="C165" s="1226" t="s">
        <v>2062</v>
      </c>
      <c r="D165" s="1214">
        <f>'[15]Input Sheet'!G1234</f>
        <v>0</v>
      </c>
      <c r="E165" s="1214"/>
      <c r="F165" s="1213">
        <v>0</v>
      </c>
      <c r="G165" s="1214"/>
    </row>
    <row r="166" spans="1:9" ht="15" x14ac:dyDescent="0.25">
      <c r="A166" s="1209">
        <v>75813</v>
      </c>
      <c r="B166" s="1216"/>
      <c r="C166" s="1226" t="s">
        <v>2063</v>
      </c>
      <c r="D166" s="1219">
        <f>'[15]Input Sheet'!G1235</f>
        <v>0.22598480000000001</v>
      </c>
      <c r="E166" s="1214"/>
      <c r="F166" s="1213">
        <v>2.0604421660000001</v>
      </c>
      <c r="G166" s="1214"/>
    </row>
    <row r="167" spans="1:9" ht="15" x14ac:dyDescent="0.25">
      <c r="A167" s="1215"/>
      <c r="B167" s="1216"/>
      <c r="C167" s="1222"/>
      <c r="D167" s="1214"/>
      <c r="E167" s="1214"/>
      <c r="F167" s="1213"/>
      <c r="G167" s="1214"/>
    </row>
    <row r="168" spans="1:9" ht="15" x14ac:dyDescent="0.25">
      <c r="A168" s="1215"/>
      <c r="B168" s="1216"/>
      <c r="C168" s="1224" t="s">
        <v>2064</v>
      </c>
      <c r="D168" s="1214"/>
      <c r="E168" s="1214">
        <f>SUM(D169:D189)</f>
        <v>94.973433843999999</v>
      </c>
      <c r="F168" s="1213"/>
      <c r="G168" s="1214">
        <f>SUM(F169:F189)</f>
        <v>100.480688606</v>
      </c>
    </row>
    <row r="169" spans="1:9" ht="15" x14ac:dyDescent="0.25">
      <c r="A169" s="1209">
        <v>75610</v>
      </c>
      <c r="B169" s="1216"/>
      <c r="C169" s="1226" t="s">
        <v>2065</v>
      </c>
      <c r="D169" s="1219">
        <f>'[15]Input Sheet'!G1213</f>
        <v>4.1302862569999998</v>
      </c>
      <c r="E169" s="1214"/>
      <c r="F169" s="1213">
        <v>3.8314761929999999</v>
      </c>
      <c r="G169" s="1214"/>
    </row>
    <row r="170" spans="1:9" ht="15" x14ac:dyDescent="0.25">
      <c r="A170" s="1209">
        <v>75612</v>
      </c>
      <c r="B170" s="1216"/>
      <c r="C170" s="1226" t="s">
        <v>2066</v>
      </c>
      <c r="D170" s="1214">
        <f>'[15]Input Sheet'!G1214</f>
        <v>2.1521072000000001</v>
      </c>
      <c r="E170" s="1214"/>
      <c r="F170" s="1213">
        <v>1.4473762999999999</v>
      </c>
      <c r="G170" s="1214"/>
    </row>
    <row r="171" spans="1:9" ht="15" x14ac:dyDescent="0.25">
      <c r="A171" s="1209">
        <v>75619</v>
      </c>
      <c r="B171" s="1216"/>
      <c r="C171" s="1226" t="s">
        <v>2067</v>
      </c>
      <c r="D171" s="1214">
        <f>'[15]Input Sheet'!G1216</f>
        <v>1.9521566940000001</v>
      </c>
      <c r="E171" s="1214"/>
      <c r="F171" s="1213">
        <v>1.5085196539999999</v>
      </c>
      <c r="G171" s="1214"/>
    </row>
    <row r="172" spans="1:9" ht="15" x14ac:dyDescent="0.25">
      <c r="A172" s="1209">
        <v>75620</v>
      </c>
      <c r="B172" s="1216"/>
      <c r="C172" s="1226" t="s">
        <v>2068</v>
      </c>
      <c r="D172" s="1214">
        <f>'[15]Input Sheet'!G1217</f>
        <v>0.52642529999999998</v>
      </c>
      <c r="E172" s="1214"/>
      <c r="F172" s="1213">
        <v>0.32806220000000003</v>
      </c>
      <c r="G172" s="1214"/>
    </row>
    <row r="173" spans="1:9" ht="15" x14ac:dyDescent="0.25">
      <c r="A173" s="1209">
        <v>75621</v>
      </c>
      <c r="B173" s="1216"/>
      <c r="C173" s="1226" t="s">
        <v>2069</v>
      </c>
      <c r="D173" s="1214">
        <f>'[15]Input Sheet'!G1218</f>
        <v>0</v>
      </c>
      <c r="E173" s="1214"/>
      <c r="F173" s="1213">
        <v>1.3556E-3</v>
      </c>
      <c r="G173" s="1214"/>
    </row>
    <row r="174" spans="1:9" ht="15" x14ac:dyDescent="0.25">
      <c r="A174" s="1209">
        <v>75622</v>
      </c>
      <c r="B174" s="1216"/>
      <c r="C174" s="1226" t="s">
        <v>2070</v>
      </c>
      <c r="D174" s="1214">
        <f>'[15]Input Sheet'!G1219</f>
        <v>0.90562921400000007</v>
      </c>
      <c r="E174" s="1214"/>
      <c r="F174" s="1213">
        <v>1.4341360999999999</v>
      </c>
      <c r="G174" s="1214"/>
    </row>
    <row r="175" spans="1:9" ht="15" x14ac:dyDescent="0.25">
      <c r="A175" s="1209">
        <v>75623</v>
      </c>
      <c r="B175" s="1216"/>
      <c r="C175" s="1226" t="s">
        <v>2071</v>
      </c>
      <c r="D175" s="1214">
        <f>'[15]Input Sheet'!G1220</f>
        <v>19.583571588999998</v>
      </c>
      <c r="E175" s="1214"/>
      <c r="F175" s="1213">
        <f>23.507481854+H175</f>
        <v>23.429009154000003</v>
      </c>
      <c r="G175" s="1214"/>
      <c r="H175" s="1234">
        <f>+[15]restated!R38/10^7</f>
        <v>-7.8472700000000006E-2</v>
      </c>
    </row>
    <row r="176" spans="1:9" ht="15" x14ac:dyDescent="0.25">
      <c r="A176" s="1209">
        <v>75629</v>
      </c>
      <c r="B176" s="1216"/>
      <c r="C176" s="1226" t="s">
        <v>2072</v>
      </c>
      <c r="D176" s="1214">
        <f>'[15]Input Sheet'!G1221</f>
        <v>0</v>
      </c>
      <c r="E176" s="1214"/>
      <c r="F176" s="1213">
        <v>0.27944999999999998</v>
      </c>
      <c r="G176" s="1214"/>
    </row>
    <row r="177" spans="1:9" ht="15" x14ac:dyDescent="0.25">
      <c r="A177" s="1209">
        <v>75640</v>
      </c>
      <c r="B177" s="1216"/>
      <c r="C177" s="1226" t="s">
        <v>2073</v>
      </c>
      <c r="D177" s="1214">
        <f>'[15]Input Sheet'!G1223</f>
        <v>4.5158400000000001E-2</v>
      </c>
      <c r="E177" s="1214"/>
      <c r="F177" s="1213">
        <v>9.7229099999999999E-2</v>
      </c>
      <c r="G177" s="1214"/>
    </row>
    <row r="178" spans="1:9" ht="15" x14ac:dyDescent="0.25">
      <c r="A178" s="1209">
        <v>75645</v>
      </c>
      <c r="B178" s="1216"/>
      <c r="C178" s="1226" t="s">
        <v>2074</v>
      </c>
      <c r="D178" s="1214">
        <f>'[15]Input Sheet'!G1224</f>
        <v>0</v>
      </c>
      <c r="E178" s="1214"/>
      <c r="F178" s="1213">
        <v>0</v>
      </c>
      <c r="G178" s="1214"/>
    </row>
    <row r="179" spans="1:9" ht="15" x14ac:dyDescent="0.25">
      <c r="A179" s="1209">
        <v>74801</v>
      </c>
      <c r="B179" s="1216"/>
      <c r="C179" s="1226" t="s">
        <v>2075</v>
      </c>
      <c r="D179" s="1219">
        <f>'[15]Input Sheet'!G1197</f>
        <v>1.6183134109999999</v>
      </c>
      <c r="E179" s="1214"/>
      <c r="F179" s="1213">
        <v>3.0620893809999998</v>
      </c>
      <c r="G179" s="1214"/>
    </row>
    <row r="180" spans="1:9" ht="15" x14ac:dyDescent="0.25">
      <c r="A180" s="1209">
        <v>75710</v>
      </c>
      <c r="B180" s="1216"/>
      <c r="C180" s="1226" t="s">
        <v>2076</v>
      </c>
      <c r="D180" s="1214">
        <f>'[15]Input Sheet'!G1225</f>
        <v>0.315554997</v>
      </c>
      <c r="E180" s="1214"/>
      <c r="F180" s="1213">
        <v>0.13240306200000002</v>
      </c>
      <c r="G180" s="1214"/>
    </row>
    <row r="181" spans="1:9" ht="15" x14ac:dyDescent="0.25">
      <c r="A181" s="1209">
        <v>75720</v>
      </c>
      <c r="B181" s="1216"/>
      <c r="C181" s="1226" t="s">
        <v>2077</v>
      </c>
      <c r="D181" s="1214">
        <f>'[15]Input Sheet'!G1226</f>
        <v>24.746822052999999</v>
      </c>
      <c r="E181" s="1214"/>
      <c r="F181" s="1213">
        <v>23.855796291000001</v>
      </c>
      <c r="G181" s="1214"/>
    </row>
    <row r="182" spans="1:9" ht="15" x14ac:dyDescent="0.25">
      <c r="A182" s="1209">
        <v>75721</v>
      </c>
      <c r="B182" s="1216"/>
      <c r="C182" s="1226" t="s">
        <v>2078</v>
      </c>
      <c r="D182" s="1214">
        <f>'[15]Input Sheet'!G1227</f>
        <v>8.9951154000000005E-2</v>
      </c>
      <c r="E182" s="1214"/>
      <c r="F182" s="1213">
        <v>5.1360800999999998E-2</v>
      </c>
      <c r="G182" s="1214"/>
    </row>
    <row r="183" spans="1:9" ht="15" x14ac:dyDescent="0.25">
      <c r="A183" s="1209">
        <v>75740</v>
      </c>
      <c r="B183" s="1216"/>
      <c r="C183" s="1226" t="s">
        <v>2079</v>
      </c>
      <c r="D183" s="1214">
        <f>'[15]Input Sheet'!G1228</f>
        <v>3.9866403639999999</v>
      </c>
      <c r="E183" s="1214"/>
      <c r="F183" s="1213">
        <v>3.9411611200000003</v>
      </c>
      <c r="G183" s="1214"/>
    </row>
    <row r="184" spans="1:9" ht="15" x14ac:dyDescent="0.25">
      <c r="A184" s="1209">
        <v>75760</v>
      </c>
      <c r="B184" s="1216"/>
      <c r="C184" s="1226" t="s">
        <v>2080</v>
      </c>
      <c r="D184" s="1214">
        <f>'[15]Input Sheet'!G1229</f>
        <v>26.911916311000002</v>
      </c>
      <c r="E184" s="1214"/>
      <c r="F184" s="1261">
        <f>25.45439505+H184-I184</f>
        <v>26.409348849999997</v>
      </c>
      <c r="G184" s="1214"/>
      <c r="H184" s="1234">
        <f>+[15]restated!R39/10^7</f>
        <v>12.1149538</v>
      </c>
      <c r="I184" s="1262">
        <v>11.16</v>
      </c>
    </row>
    <row r="185" spans="1:9" ht="15" x14ac:dyDescent="0.25">
      <c r="A185" s="1209">
        <v>75770</v>
      </c>
      <c r="B185" s="1216"/>
      <c r="C185" s="1226" t="s">
        <v>2081</v>
      </c>
      <c r="D185" s="1263">
        <f>'[15]Input Sheet'!G1230</f>
        <v>0.81447729999999996</v>
      </c>
      <c r="E185" s="1214"/>
      <c r="F185" s="1213">
        <v>0.87634999999999996</v>
      </c>
      <c r="G185" s="1214"/>
    </row>
    <row r="186" spans="1:9" ht="15" x14ac:dyDescent="0.25">
      <c r="A186" s="1209">
        <v>75790</v>
      </c>
      <c r="B186" s="1216"/>
      <c r="C186" s="1226" t="s">
        <v>2082</v>
      </c>
      <c r="D186" s="1214">
        <f>'[15]Input Sheet'!G1231</f>
        <v>0.46952050000000001</v>
      </c>
      <c r="E186" s="1214"/>
      <c r="F186" s="1213">
        <v>0.48715649999999999</v>
      </c>
      <c r="G186" s="1214"/>
    </row>
    <row r="187" spans="1:9" ht="15" x14ac:dyDescent="0.25">
      <c r="A187" s="1209">
        <v>75850</v>
      </c>
      <c r="B187" s="1216"/>
      <c r="C187" s="1226" t="s">
        <v>2083</v>
      </c>
      <c r="D187" s="1214">
        <f>'[15]Input Sheet'!G1237</f>
        <v>1.9195458999999999</v>
      </c>
      <c r="E187" s="1214"/>
      <c r="F187" s="1213">
        <v>1.8919207</v>
      </c>
      <c r="G187" s="1214"/>
    </row>
    <row r="188" spans="1:9" ht="15" x14ac:dyDescent="0.25">
      <c r="A188" s="1209">
        <v>75860</v>
      </c>
      <c r="B188" s="1216"/>
      <c r="C188" s="1226" t="s">
        <v>2084</v>
      </c>
      <c r="D188" s="1214">
        <f>'[15]Input Sheet'!G1238</f>
        <v>4.3572000000000003E-3</v>
      </c>
      <c r="E188" s="1214"/>
      <c r="F188" s="1213">
        <v>4.3572000000000003E-3</v>
      </c>
      <c r="G188" s="1214"/>
    </row>
    <row r="189" spans="1:9" ht="15" x14ac:dyDescent="0.25">
      <c r="A189" s="1209"/>
      <c r="B189" s="1216"/>
      <c r="C189" s="1233" t="s">
        <v>2085</v>
      </c>
      <c r="D189" s="1214">
        <f>+'[15]Input Sheet'!G1222</f>
        <v>4.8010000000000002</v>
      </c>
      <c r="E189" s="1214"/>
      <c r="F189" s="1213">
        <v>7.4121303999999997</v>
      </c>
      <c r="G189" s="1214"/>
    </row>
    <row r="190" spans="1:9" ht="15" x14ac:dyDescent="0.25">
      <c r="A190" s="1215"/>
      <c r="B190" s="1216"/>
      <c r="C190" s="1218"/>
      <c r="D190" s="1214"/>
      <c r="E190" s="1214"/>
      <c r="F190" s="1213"/>
      <c r="G190" s="1214"/>
    </row>
    <row r="191" spans="1:9" ht="15" x14ac:dyDescent="0.25">
      <c r="A191" s="1215"/>
      <c r="B191" s="1216"/>
      <c r="C191" s="882" t="s">
        <v>7</v>
      </c>
      <c r="D191" s="882"/>
      <c r="E191" s="882">
        <f>SUM(E141:E190)</f>
        <v>2257.0609208709998</v>
      </c>
      <c r="F191" s="882"/>
      <c r="G191" s="882">
        <f>SUM(G141:G190)</f>
        <v>1706.9575242869998</v>
      </c>
    </row>
    <row r="192" spans="1:9" ht="15" x14ac:dyDescent="0.25">
      <c r="A192" s="1215"/>
      <c r="B192" s="1216"/>
      <c r="C192" s="1230"/>
      <c r="D192" s="1214"/>
      <c r="E192" s="1214"/>
      <c r="F192" s="1213"/>
      <c r="G192" s="1214"/>
    </row>
    <row r="193" spans="1:11" ht="15" x14ac:dyDescent="0.25">
      <c r="A193" s="1215"/>
      <c r="B193" s="1216" t="s">
        <v>725</v>
      </c>
      <c r="C193" s="1217" t="s">
        <v>726</v>
      </c>
      <c r="D193" s="1214"/>
      <c r="E193" s="1214"/>
      <c r="F193" s="1213"/>
      <c r="G193" s="1214"/>
    </row>
    <row r="194" spans="1:11" ht="15" x14ac:dyDescent="0.25">
      <c r="A194" s="1215"/>
      <c r="B194" s="1216"/>
      <c r="C194" s="1224" t="s">
        <v>727</v>
      </c>
      <c r="D194" s="1212"/>
      <c r="E194" s="1264">
        <f>1716180500/10^7</f>
        <v>171.61805000000001</v>
      </c>
      <c r="F194" s="1213"/>
      <c r="G194" s="412">
        <v>19.753063399999998</v>
      </c>
      <c r="I194" s="1139"/>
    </row>
    <row r="195" spans="1:11" ht="15" x14ac:dyDescent="0.25">
      <c r="A195" s="1215"/>
      <c r="B195" s="1216"/>
      <c r="C195" s="1230"/>
      <c r="D195" s="1214"/>
      <c r="E195" s="1214"/>
      <c r="F195" s="1213"/>
      <c r="G195" s="1214"/>
    </row>
    <row r="196" spans="1:11" ht="15" x14ac:dyDescent="0.25">
      <c r="A196" s="1215"/>
      <c r="B196" s="1216">
        <v>27</v>
      </c>
      <c r="C196" s="1217" t="s">
        <v>104</v>
      </c>
      <c r="D196" s="1214"/>
      <c r="E196" s="1214"/>
      <c r="F196" s="1213"/>
      <c r="G196" s="1214"/>
    </row>
    <row r="197" spans="1:11" ht="15" x14ac:dyDescent="0.25">
      <c r="A197" s="1215"/>
      <c r="B197" s="1216"/>
      <c r="C197" s="1224" t="s">
        <v>2086</v>
      </c>
      <c r="D197" s="1214"/>
      <c r="E197" s="1214">
        <f>SUM(D198:D211)</f>
        <v>3266.8770370450002</v>
      </c>
      <c r="F197" s="1213"/>
      <c r="G197" s="1214">
        <f>SUM(F198:F211)</f>
        <v>3129.0541158280007</v>
      </c>
    </row>
    <row r="198" spans="1:11" ht="15" x14ac:dyDescent="0.25">
      <c r="A198" s="1209">
        <v>78001</v>
      </c>
      <c r="B198" s="1216"/>
      <c r="C198" s="1226" t="s">
        <v>2087</v>
      </c>
      <c r="D198" s="1214">
        <f>'[15]Input Sheet'!G1307</f>
        <v>1416.68691079</v>
      </c>
      <c r="E198" s="1214"/>
      <c r="F198" s="1261">
        <f>1644.754275-I198</f>
        <v>1625.3442749999999</v>
      </c>
      <c r="G198" s="1214"/>
      <c r="I198" s="1262">
        <v>19.41</v>
      </c>
      <c r="J198" s="1265">
        <f>+D198-F198</f>
        <v>-208.65736420999997</v>
      </c>
      <c r="K198" s="1265">
        <f>+J198+13</f>
        <v>-195.65736420999997</v>
      </c>
    </row>
    <row r="199" spans="1:11" ht="15" x14ac:dyDescent="0.25">
      <c r="A199" s="1209">
        <v>78700</v>
      </c>
      <c r="B199" s="1216"/>
      <c r="C199" s="1266" t="s">
        <v>2088</v>
      </c>
      <c r="D199" s="1214">
        <f>'[15]Input Sheet'!G1314</f>
        <v>688.52717658300003</v>
      </c>
      <c r="E199" s="1214"/>
      <c r="F199" s="1213">
        <v>627.01818824500003</v>
      </c>
      <c r="G199" s="1214"/>
      <c r="H199" s="1238"/>
    </row>
    <row r="200" spans="1:11" ht="15" x14ac:dyDescent="0.25">
      <c r="A200" s="1209">
        <v>78701</v>
      </c>
      <c r="B200" s="1216"/>
      <c r="C200" s="1266" t="s">
        <v>2089</v>
      </c>
      <c r="D200" s="1214">
        <f>'[15]Input Sheet'!G1315</f>
        <v>0</v>
      </c>
      <c r="E200" s="1214"/>
      <c r="F200" s="1213">
        <v>0</v>
      </c>
      <c r="G200" s="1214"/>
    </row>
    <row r="201" spans="1:11" ht="15" x14ac:dyDescent="0.25">
      <c r="A201" s="1209">
        <v>78702</v>
      </c>
      <c r="B201" s="1216"/>
      <c r="C201" s="1226" t="s">
        <v>2090</v>
      </c>
      <c r="D201" s="1214">
        <f>'[15]Input Sheet'!G1316</f>
        <v>0</v>
      </c>
      <c r="E201" s="1214"/>
      <c r="F201" s="1213">
        <v>1.0060871</v>
      </c>
      <c r="G201" s="1214"/>
      <c r="J201" s="1265">
        <f t="shared" ref="J201:J211" si="0">+D201-F201</f>
        <v>-1.0060871</v>
      </c>
    </row>
    <row r="202" spans="1:11" ht="15" x14ac:dyDescent="0.25">
      <c r="A202" s="1209">
        <v>78703</v>
      </c>
      <c r="B202" s="1216"/>
      <c r="C202" s="1236" t="s">
        <v>2091</v>
      </c>
      <c r="D202" s="1214">
        <f>'[15]Input Sheet'!G1317</f>
        <v>723.45474049999996</v>
      </c>
      <c r="E202" s="1214"/>
      <c r="F202" s="1213">
        <v>441.47056129999999</v>
      </c>
      <c r="G202" s="1214"/>
      <c r="J202" s="1265">
        <f t="shared" si="0"/>
        <v>281.98417919999997</v>
      </c>
    </row>
    <row r="203" spans="1:11" ht="15" x14ac:dyDescent="0.25">
      <c r="A203" s="1209">
        <v>78711</v>
      </c>
      <c r="B203" s="1216"/>
      <c r="C203" s="1226" t="s">
        <v>2092</v>
      </c>
      <c r="D203" s="1214">
        <f>'[15]Input Sheet'!G1318</f>
        <v>406.54781109999999</v>
      </c>
      <c r="E203" s="1214"/>
      <c r="F203" s="1261">
        <f>406.6069636-I203</f>
        <v>402.97696359999998</v>
      </c>
      <c r="G203" s="1214"/>
      <c r="I203" s="1262">
        <v>3.63</v>
      </c>
      <c r="J203" s="1265">
        <f t="shared" si="0"/>
        <v>3.5708475000000135</v>
      </c>
    </row>
    <row r="204" spans="1:11" ht="15" x14ac:dyDescent="0.25">
      <c r="A204" s="1209">
        <v>78712</v>
      </c>
      <c r="B204" s="1216"/>
      <c r="C204" s="1226" t="s">
        <v>2093</v>
      </c>
      <c r="D204" s="1214">
        <f>'[15]Input Sheet'!G1319</f>
        <v>0</v>
      </c>
      <c r="E204" s="1214"/>
      <c r="F204" s="1213">
        <v>0</v>
      </c>
      <c r="G204" s="1214"/>
      <c r="J204" s="1265">
        <f t="shared" si="0"/>
        <v>0</v>
      </c>
    </row>
    <row r="205" spans="1:11" ht="15" x14ac:dyDescent="0.25">
      <c r="A205" s="1209">
        <v>78841</v>
      </c>
      <c r="B205" s="1216"/>
      <c r="C205" s="1226" t="s">
        <v>2094</v>
      </c>
      <c r="D205" s="1214">
        <f>'[15]Input Sheet'!G1320</f>
        <v>0.89744034800000005</v>
      </c>
      <c r="E205" s="1214"/>
      <c r="F205" s="1213">
        <v>0.37504346700000002</v>
      </c>
      <c r="G205" s="1984"/>
      <c r="J205" s="1265">
        <f t="shared" si="0"/>
        <v>0.52239688100000004</v>
      </c>
    </row>
    <row r="206" spans="1:11" ht="15" x14ac:dyDescent="0.25">
      <c r="A206" s="1209">
        <v>78842</v>
      </c>
      <c r="B206" s="1216"/>
      <c r="C206" s="1226" t="s">
        <v>2095</v>
      </c>
      <c r="D206" s="1214">
        <f>'[15]Input Sheet'!G1321</f>
        <v>0</v>
      </c>
      <c r="E206" s="1214"/>
      <c r="F206" s="1213">
        <v>0</v>
      </c>
      <c r="G206" s="1984"/>
      <c r="J206" s="1265">
        <f t="shared" si="0"/>
        <v>0</v>
      </c>
    </row>
    <row r="207" spans="1:11" ht="15" x14ac:dyDescent="0.25">
      <c r="A207" s="1209">
        <v>78843</v>
      </c>
      <c r="B207" s="1216"/>
      <c r="C207" s="1226" t="s">
        <v>2096</v>
      </c>
      <c r="D207" s="1214">
        <f>'[15]Input Sheet'!G1322</f>
        <v>27.022937500000001</v>
      </c>
      <c r="E207" s="1214"/>
      <c r="F207" s="1213">
        <v>29.133103999999999</v>
      </c>
      <c r="G207" s="1984"/>
      <c r="J207" s="1265">
        <f t="shared" si="0"/>
        <v>-2.1101664999999983</v>
      </c>
    </row>
    <row r="208" spans="1:11" ht="15" x14ac:dyDescent="0.25">
      <c r="A208" s="1209">
        <v>78861</v>
      </c>
      <c r="B208" s="1216"/>
      <c r="C208" s="1226" t="s">
        <v>2097</v>
      </c>
      <c r="D208" s="1214">
        <f>'[15]Input Sheet'!G1325</f>
        <v>1.6987509999999999</v>
      </c>
      <c r="E208" s="1214"/>
      <c r="F208" s="1213">
        <v>1.4680500000000001</v>
      </c>
      <c r="G208" s="1984"/>
      <c r="J208" s="1265">
        <f t="shared" si="0"/>
        <v>0.23070099999999982</v>
      </c>
    </row>
    <row r="209" spans="1:10" ht="15" x14ac:dyDescent="0.25">
      <c r="A209" s="1209">
        <v>78590</v>
      </c>
      <c r="B209" s="1216"/>
      <c r="C209" s="1226" t="s">
        <v>2098</v>
      </c>
      <c r="D209" s="1214">
        <f>'[15]Input Sheet'!G1311</f>
        <v>1.9460938000000001</v>
      </c>
      <c r="E209" s="1214"/>
      <c r="F209" s="1213">
        <v>8.2844200000000007E-2</v>
      </c>
      <c r="G209" s="1984"/>
      <c r="J209" s="1265">
        <f t="shared" si="0"/>
        <v>1.8632496000000001</v>
      </c>
    </row>
    <row r="210" spans="1:10" ht="15" x14ac:dyDescent="0.25">
      <c r="A210" s="1209">
        <v>78591</v>
      </c>
      <c r="B210" s="1216"/>
      <c r="C210" s="1226" t="s">
        <v>2099</v>
      </c>
      <c r="D210" s="1214">
        <f>'[15]Input Sheet'!G1312</f>
        <v>2.1169000000000001E-3</v>
      </c>
      <c r="E210" s="1214"/>
      <c r="F210" s="1213">
        <v>5.3544999999999999E-3</v>
      </c>
      <c r="G210" s="1267"/>
      <c r="J210" s="1265">
        <f t="shared" si="0"/>
        <v>-3.2375999999999998E-3</v>
      </c>
    </row>
    <row r="211" spans="1:10" ht="15" x14ac:dyDescent="0.25">
      <c r="A211" s="1209">
        <v>78592</v>
      </c>
      <c r="B211" s="1216"/>
      <c r="C211" s="1226" t="s">
        <v>2100</v>
      </c>
      <c r="D211" s="1214">
        <f>'[15]Input Sheet'!G1313</f>
        <v>9.3058524000000004E-2</v>
      </c>
      <c r="E211" s="1214"/>
      <c r="F211" s="1213">
        <v>0.173644416</v>
      </c>
      <c r="G211" s="1267"/>
      <c r="J211" s="1265">
        <f t="shared" si="0"/>
        <v>-8.0585891999999992E-2</v>
      </c>
    </row>
    <row r="212" spans="1:10" ht="15" x14ac:dyDescent="0.25">
      <c r="A212" s="1211">
        <f>'[15]Input Sheet'!D1324</f>
        <v>78845</v>
      </c>
      <c r="B212" s="1216"/>
      <c r="C212" s="1211" t="s">
        <v>728</v>
      </c>
      <c r="D212" s="1214"/>
      <c r="E212" s="1214">
        <f>'[15]Input Sheet'!G1324</f>
        <v>327.61980563499998</v>
      </c>
      <c r="F212" s="1213"/>
      <c r="G212" s="1213">
        <v>331.19554014899995</v>
      </c>
      <c r="I212" s="1246"/>
    </row>
    <row r="213" spans="1:10" ht="15" x14ac:dyDescent="0.25">
      <c r="A213" s="1215"/>
      <c r="B213" s="1216"/>
      <c r="C213" s="1218"/>
      <c r="D213" s="1214"/>
      <c r="E213" s="1214"/>
      <c r="F213" s="1213"/>
      <c r="G213" s="1214"/>
      <c r="H213" s="1265"/>
    </row>
    <row r="214" spans="1:10" ht="15" x14ac:dyDescent="0.25">
      <c r="A214" s="1215"/>
      <c r="B214" s="1216"/>
      <c r="C214" s="1224" t="s">
        <v>733</v>
      </c>
      <c r="D214" s="1214"/>
      <c r="E214" s="1214">
        <f>SUM(D215:D218)</f>
        <v>16.444166872</v>
      </c>
      <c r="F214" s="1213"/>
      <c r="G214" s="1214">
        <v>9.8601437020000002</v>
      </c>
    </row>
    <row r="215" spans="1:10" ht="15" x14ac:dyDescent="0.25">
      <c r="A215" s="1209">
        <v>78864</v>
      </c>
      <c r="B215" s="1216"/>
      <c r="C215" s="1226" t="s">
        <v>2101</v>
      </c>
      <c r="D215" s="1214">
        <f>'[15]Input Sheet'!G1326</f>
        <v>13.887349572</v>
      </c>
      <c r="E215" s="1214"/>
      <c r="F215" s="1213">
        <v>8.4161014339999998</v>
      </c>
      <c r="G215" s="1978"/>
    </row>
    <row r="216" spans="1:10" ht="15" x14ac:dyDescent="0.25">
      <c r="A216" s="1209">
        <v>78866</v>
      </c>
      <c r="B216" s="1216"/>
      <c r="C216" s="1226" t="s">
        <v>2102</v>
      </c>
      <c r="D216" s="1214">
        <f>'[15]Input Sheet'!G1327</f>
        <v>2.5435519000000002</v>
      </c>
      <c r="E216" s="1214"/>
      <c r="F216" s="1213">
        <v>1.4262653999999999</v>
      </c>
      <c r="G216" s="1978"/>
    </row>
    <row r="217" spans="1:10" ht="15" x14ac:dyDescent="0.25">
      <c r="A217" s="1209">
        <v>76191</v>
      </c>
      <c r="B217" s="1216"/>
      <c r="C217" s="1226" t="s">
        <v>2103</v>
      </c>
      <c r="D217" s="1214">
        <f>'[15]Input Sheet'!G1276</f>
        <v>0</v>
      </c>
      <c r="E217" s="1214"/>
      <c r="F217" s="1213">
        <v>1E-4</v>
      </c>
      <c r="G217" s="1978"/>
    </row>
    <row r="218" spans="1:10" ht="15" x14ac:dyDescent="0.25">
      <c r="A218" s="1209">
        <v>76192</v>
      </c>
      <c r="B218" s="1216"/>
      <c r="C218" s="1226" t="s">
        <v>2104</v>
      </c>
      <c r="D218" s="1214">
        <f>'[15]Input Sheet'!G1277</f>
        <v>1.32654E-2</v>
      </c>
      <c r="E218" s="1214"/>
      <c r="F218" s="1213">
        <v>1.7676867999999998E-2</v>
      </c>
      <c r="G218" s="1978"/>
    </row>
    <row r="219" spans="1:10" ht="15" x14ac:dyDescent="0.25">
      <c r="A219" s="1215"/>
      <c r="B219" s="1216"/>
      <c r="C219" s="1226"/>
      <c r="D219" s="1214"/>
      <c r="E219" s="1214"/>
      <c r="F219" s="1213"/>
      <c r="G219" s="1214"/>
    </row>
    <row r="220" spans="1:10" ht="15" x14ac:dyDescent="0.25">
      <c r="A220" s="1215"/>
      <c r="B220" s="1216"/>
      <c r="C220" s="882" t="s">
        <v>7</v>
      </c>
      <c r="D220" s="882"/>
      <c r="E220" s="1268">
        <f>SUM(E197:E219)</f>
        <v>3610.9410095520002</v>
      </c>
      <c r="F220" s="882"/>
      <c r="G220" s="1268">
        <f>SUM(G197:G219)</f>
        <v>3470.1097996790008</v>
      </c>
    </row>
    <row r="221" spans="1:10" ht="15" x14ac:dyDescent="0.25">
      <c r="A221" s="1215"/>
      <c r="B221" s="1216"/>
      <c r="C221" s="1226"/>
      <c r="D221" s="1214"/>
      <c r="E221" s="1214"/>
      <c r="F221" s="1213"/>
      <c r="G221" s="1214"/>
    </row>
    <row r="222" spans="1:10" ht="15" x14ac:dyDescent="0.25">
      <c r="A222" s="1215"/>
      <c r="B222" s="1216"/>
      <c r="C222" s="1226"/>
      <c r="D222" s="1214"/>
      <c r="E222" s="1214"/>
      <c r="F222" s="1213"/>
      <c r="G222" s="1214"/>
    </row>
    <row r="223" spans="1:10" ht="15" x14ac:dyDescent="0.25">
      <c r="A223" s="1215"/>
      <c r="B223" s="1216">
        <v>28</v>
      </c>
      <c r="C223" s="1211" t="s">
        <v>734</v>
      </c>
      <c r="D223" s="1214"/>
      <c r="E223" s="1214"/>
      <c r="F223" s="1213"/>
      <c r="G223" s="1214"/>
    </row>
    <row r="224" spans="1:10" ht="15" x14ac:dyDescent="0.25">
      <c r="A224" s="1209">
        <v>76101</v>
      </c>
      <c r="B224" s="1216"/>
      <c r="C224" s="1211" t="s">
        <v>735</v>
      </c>
      <c r="D224" s="1214"/>
      <c r="E224" s="1214">
        <f>'[15]Input Sheet'!G1241</f>
        <v>1.1747913679999999</v>
      </c>
      <c r="F224" s="1213"/>
      <c r="G224" s="1214">
        <f>1.693120268+H224</f>
        <v>1.7107022679999999</v>
      </c>
      <c r="H224" s="1269">
        <f>+[15]restated!R40/10^7</f>
        <v>1.7582E-2</v>
      </c>
      <c r="I224" s="1246"/>
    </row>
    <row r="225" spans="1:9" ht="15" x14ac:dyDescent="0.25">
      <c r="A225" s="1209">
        <v>71850</v>
      </c>
      <c r="B225" s="1216"/>
      <c r="C225" s="1211" t="s">
        <v>736</v>
      </c>
      <c r="D225" s="1214"/>
      <c r="E225" s="1214">
        <f>'[15]Input Sheet'!G1173</f>
        <v>81.428250000000006</v>
      </c>
      <c r="F225" s="1213"/>
      <c r="G225" s="1214">
        <v>82.875600000000006</v>
      </c>
      <c r="H225" s="1238"/>
      <c r="I225" s="1246"/>
    </row>
    <row r="226" spans="1:9" ht="15" x14ac:dyDescent="0.25">
      <c r="A226" s="1215"/>
      <c r="B226" s="1216"/>
      <c r="C226" s="1211" t="s">
        <v>2105</v>
      </c>
      <c r="D226" s="1214"/>
      <c r="E226" s="1214"/>
      <c r="F226" s="1213"/>
      <c r="G226" s="1214"/>
      <c r="H226" s="1238"/>
      <c r="I226" s="1246"/>
    </row>
    <row r="227" spans="1:9" ht="15" x14ac:dyDescent="0.25">
      <c r="A227" s="1215"/>
      <c r="B227" s="1216"/>
      <c r="C227" s="1211" t="s">
        <v>2106</v>
      </c>
      <c r="D227" s="1214"/>
      <c r="E227" s="1214">
        <f>SUM(D228:D234)-E235</f>
        <v>1569.2609407279999</v>
      </c>
      <c r="F227" s="1213"/>
      <c r="G227" s="1214">
        <f>SUM(F228:F234)</f>
        <v>1527.900578455</v>
      </c>
      <c r="H227" s="1238"/>
      <c r="I227" s="1246"/>
    </row>
    <row r="228" spans="1:9" ht="15" x14ac:dyDescent="0.25">
      <c r="A228" s="1209">
        <v>74101</v>
      </c>
      <c r="B228" s="1216"/>
      <c r="C228" s="1226" t="s">
        <v>2107</v>
      </c>
      <c r="D228" s="1214">
        <f>'[15]Input Sheet'!G1185</f>
        <v>7.5243903450000005</v>
      </c>
      <c r="E228" s="1214"/>
      <c r="F228" s="1213">
        <v>6.7875669370000002</v>
      </c>
      <c r="G228" s="1214"/>
      <c r="H228" s="1238"/>
      <c r="I228" s="1246"/>
    </row>
    <row r="229" spans="1:9" ht="15" x14ac:dyDescent="0.25">
      <c r="A229" s="1209">
        <v>74102</v>
      </c>
      <c r="B229" s="1216"/>
      <c r="C229" s="1226" t="s">
        <v>2108</v>
      </c>
      <c r="D229" s="1214">
        <f>'[15]Input Sheet'!G1186</f>
        <v>0.24792169999999999</v>
      </c>
      <c r="E229" s="1214"/>
      <c r="F229" s="1213">
        <v>0.42949159999999997</v>
      </c>
      <c r="G229" s="1214"/>
      <c r="H229" s="1238"/>
      <c r="I229" s="1246"/>
    </row>
    <row r="230" spans="1:9" ht="15" x14ac:dyDescent="0.25">
      <c r="A230" s="1209">
        <v>74103</v>
      </c>
      <c r="B230" s="1216"/>
      <c r="C230" s="1226" t="s">
        <v>2109</v>
      </c>
      <c r="D230" s="1214">
        <f>'[15]Input Sheet'!G1187</f>
        <v>983.68823728400002</v>
      </c>
      <c r="E230" s="1214"/>
      <c r="F230" s="1213">
        <f>1004.631824393+H230</f>
        <v>1004.963982328</v>
      </c>
      <c r="G230" s="1214"/>
      <c r="H230" s="1269">
        <f>+[15]restated!R37/10^7</f>
        <v>0.33215793499999996</v>
      </c>
      <c r="I230" s="1246"/>
    </row>
    <row r="231" spans="1:9" ht="15" x14ac:dyDescent="0.25">
      <c r="A231" s="1209">
        <v>74201</v>
      </c>
      <c r="B231" s="1216"/>
      <c r="C231" s="1226" t="s">
        <v>2110</v>
      </c>
      <c r="D231" s="1214">
        <f>'[15]Input Sheet'!G1188</f>
        <v>1.8069451E-2</v>
      </c>
      <c r="E231" s="1214"/>
      <c r="F231" s="1213">
        <v>2.9991495E-2</v>
      </c>
      <c r="G231" s="1214"/>
      <c r="H231" s="1238"/>
      <c r="I231" s="1246"/>
    </row>
    <row r="232" spans="1:9" ht="15" x14ac:dyDescent="0.25">
      <c r="A232" s="1209">
        <v>74202</v>
      </c>
      <c r="B232" s="1216"/>
      <c r="C232" s="1226" t="s">
        <v>2111</v>
      </c>
      <c r="D232" s="1214">
        <f>+'[15]Input Sheet'!G1189</f>
        <v>0</v>
      </c>
      <c r="E232" s="1214"/>
      <c r="F232" s="1213">
        <v>0</v>
      </c>
      <c r="G232" s="1214"/>
      <c r="H232" s="1238"/>
      <c r="I232" s="1246"/>
    </row>
    <row r="233" spans="1:9" ht="15" x14ac:dyDescent="0.25">
      <c r="A233" s="1209">
        <v>74601</v>
      </c>
      <c r="B233" s="1216"/>
      <c r="C233" s="1226" t="s">
        <v>2111</v>
      </c>
      <c r="D233" s="1214">
        <f>'[15]Input Sheet'!G1192</f>
        <v>575.69976344899999</v>
      </c>
      <c r="E233" s="1214"/>
      <c r="F233" s="1213">
        <v>510.52484705900002</v>
      </c>
      <c r="G233" s="1214"/>
      <c r="H233" s="1238"/>
      <c r="I233" s="1246"/>
    </row>
    <row r="234" spans="1:9" ht="15" x14ac:dyDescent="0.25">
      <c r="A234" s="1209">
        <v>74602</v>
      </c>
      <c r="B234" s="1216"/>
      <c r="C234" s="1226" t="s">
        <v>2112</v>
      </c>
      <c r="D234" s="1214">
        <f>'[15]Input Sheet'!G1193</f>
        <v>2.0825584989999997</v>
      </c>
      <c r="E234" s="1214"/>
      <c r="F234" s="1213">
        <v>5.164699036</v>
      </c>
      <c r="G234" s="1214"/>
      <c r="H234" s="1238"/>
      <c r="I234" s="1246"/>
    </row>
    <row r="235" spans="1:9" ht="15" x14ac:dyDescent="0.25">
      <c r="A235" s="1215"/>
      <c r="B235" s="1216"/>
      <c r="C235" s="1226" t="s">
        <v>2113</v>
      </c>
      <c r="D235" s="1214"/>
      <c r="E235" s="1214"/>
      <c r="F235" s="1213"/>
      <c r="G235" s="1214"/>
      <c r="H235" s="1238"/>
      <c r="I235" s="1246"/>
    </row>
    <row r="236" spans="1:9" ht="15" x14ac:dyDescent="0.25">
      <c r="A236" s="1215"/>
      <c r="B236" s="1216"/>
      <c r="C236" s="1211" t="s">
        <v>2114</v>
      </c>
      <c r="D236" s="1214"/>
      <c r="E236" s="1214">
        <f>SUM(D237:D241)</f>
        <v>0.48867130199999997</v>
      </c>
      <c r="F236" s="1213"/>
      <c r="G236" s="1214">
        <f>SUM(F237:F240)</f>
        <v>0.76706291599999998</v>
      </c>
      <c r="H236" s="1238"/>
      <c r="I236" s="1246"/>
    </row>
    <row r="237" spans="1:9" ht="15" x14ac:dyDescent="0.25">
      <c r="A237" s="1209">
        <v>74501</v>
      </c>
      <c r="B237" s="1216"/>
      <c r="C237" s="1226" t="s">
        <v>2115</v>
      </c>
      <c r="D237" s="1214">
        <f>'[15]Input Sheet'!G1190</f>
        <v>0.35667700200000002</v>
      </c>
      <c r="E237" s="1214"/>
      <c r="F237" s="1213">
        <v>0.37199351600000002</v>
      </c>
      <c r="G237" s="1214"/>
      <c r="H237" s="1238"/>
      <c r="I237" s="1246"/>
    </row>
    <row r="238" spans="1:9" ht="15" x14ac:dyDescent="0.25">
      <c r="A238" s="1209">
        <v>74502</v>
      </c>
      <c r="B238" s="1216"/>
      <c r="C238" s="1226" t="s">
        <v>2116</v>
      </c>
      <c r="D238" s="1214">
        <f>'[15]Input Sheet'!G1191</f>
        <v>4.6052999999999997E-3</v>
      </c>
      <c r="E238" s="1214"/>
      <c r="F238" s="1213">
        <v>5.5999999999999995E-4</v>
      </c>
      <c r="G238" s="1978"/>
      <c r="H238" s="1238"/>
      <c r="I238" s="1246"/>
    </row>
    <row r="239" spans="1:9" ht="15" x14ac:dyDescent="0.25">
      <c r="A239" s="1209">
        <v>74701</v>
      </c>
      <c r="B239" s="1216"/>
      <c r="C239" s="1226" t="s">
        <v>2117</v>
      </c>
      <c r="D239" s="1214">
        <f>'[15]Input Sheet'!G1194</f>
        <v>0</v>
      </c>
      <c r="E239" s="1214"/>
      <c r="F239" s="1213">
        <v>0</v>
      </c>
      <c r="G239" s="1978"/>
      <c r="H239" s="1238"/>
      <c r="I239" s="1246"/>
    </row>
    <row r="240" spans="1:9" ht="15" x14ac:dyDescent="0.25">
      <c r="A240" s="1209">
        <v>74703</v>
      </c>
      <c r="B240" s="1216"/>
      <c r="C240" s="1226" t="s">
        <v>2118</v>
      </c>
      <c r="D240" s="1214">
        <f>'[15]Input Sheet'!G1195</f>
        <v>0.127389</v>
      </c>
      <c r="E240" s="1214"/>
      <c r="F240" s="1213">
        <v>0.39450940000000001</v>
      </c>
      <c r="G240" s="1978"/>
      <c r="H240" s="1238"/>
      <c r="I240" s="1246"/>
    </row>
    <row r="241" spans="1:9" ht="15" x14ac:dyDescent="0.25">
      <c r="A241" s="1209">
        <f>'[15]Input Sheet'!D1196</f>
        <v>74704</v>
      </c>
      <c r="B241" s="1216"/>
      <c r="C241" s="1226" t="str">
        <f>'[15]Input Sheet'!E1196</f>
        <v>Expenditure on Promotion of Ash Utiliza</v>
      </c>
      <c r="D241" s="1214">
        <f>'[15]Input Sheet'!G1196</f>
        <v>0</v>
      </c>
      <c r="E241" s="1214"/>
      <c r="F241" s="1213"/>
      <c r="G241" s="1214"/>
      <c r="H241" s="1238"/>
      <c r="I241" s="1246"/>
    </row>
    <row r="242" spans="1:9" ht="15" x14ac:dyDescent="0.25">
      <c r="A242" s="1209"/>
      <c r="B242" s="1216"/>
      <c r="C242" s="1226"/>
      <c r="D242" s="1214"/>
      <c r="E242" s="1214"/>
      <c r="F242" s="1213"/>
      <c r="G242" s="1214"/>
      <c r="H242" s="1238"/>
      <c r="I242" s="1246"/>
    </row>
    <row r="243" spans="1:9" ht="15" x14ac:dyDescent="0.25">
      <c r="A243" s="1215"/>
      <c r="B243" s="1216"/>
      <c r="C243" s="1211" t="s">
        <v>740</v>
      </c>
      <c r="D243" s="1214"/>
      <c r="E243" s="1214">
        <f>SUM(D244:D245)</f>
        <v>26.421654663999998</v>
      </c>
      <c r="F243" s="1213"/>
      <c r="G243" s="1214">
        <f>SUM(F244:F245)</f>
        <v>26.221091080999997</v>
      </c>
      <c r="H243" s="1238"/>
      <c r="I243" s="1246"/>
    </row>
    <row r="244" spans="1:9" ht="15" x14ac:dyDescent="0.25">
      <c r="A244" s="1209">
        <v>76104</v>
      </c>
      <c r="B244" s="1216"/>
      <c r="C244" s="1226" t="s">
        <v>2119</v>
      </c>
      <c r="D244" s="1214">
        <f>'[15]Input Sheet'!G1243</f>
        <v>26.395021163999999</v>
      </c>
      <c r="E244" s="1214"/>
      <c r="F244" s="1213">
        <f>26.906871981+H244</f>
        <v>26.219951680999998</v>
      </c>
      <c r="G244" s="1214"/>
      <c r="H244" s="1269">
        <f>+[15]restated!R42/10^7</f>
        <v>-0.68692030000000004</v>
      </c>
      <c r="I244" s="1246"/>
    </row>
    <row r="245" spans="1:9" ht="15" x14ac:dyDescent="0.25">
      <c r="A245" s="1209">
        <v>76230</v>
      </c>
      <c r="B245" s="1216"/>
      <c r="C245" s="1226" t="s">
        <v>2120</v>
      </c>
      <c r="D245" s="1214">
        <f>'[15]Input Sheet'!G1280</f>
        <v>2.6633500000000001E-2</v>
      </c>
      <c r="E245" s="1214"/>
      <c r="F245" s="1213">
        <v>1.1394E-3</v>
      </c>
      <c r="G245" s="1214"/>
      <c r="H245" s="1238"/>
      <c r="I245" s="1246"/>
    </row>
    <row r="246" spans="1:9" ht="15" x14ac:dyDescent="0.25">
      <c r="A246" s="1215"/>
      <c r="B246" s="1216"/>
      <c r="C246" s="1226"/>
      <c r="D246" s="1214"/>
      <c r="E246" s="1214"/>
      <c r="F246" s="1213"/>
      <c r="G246" s="1214"/>
      <c r="H246" s="1238"/>
      <c r="I246" s="1246"/>
    </row>
    <row r="247" spans="1:9" ht="15" x14ac:dyDescent="0.25">
      <c r="A247" s="1209">
        <v>76102</v>
      </c>
      <c r="B247" s="1216"/>
      <c r="C247" s="1211" t="s">
        <v>741</v>
      </c>
      <c r="D247" s="1214"/>
      <c r="E247" s="1214">
        <f>'[15]Input Sheet'!G1242</f>
        <v>37.368373397000006</v>
      </c>
      <c r="F247" s="1213"/>
      <c r="G247" s="1214">
        <f>52.151190462+H247</f>
        <v>51.636109961999999</v>
      </c>
      <c r="H247" s="1269">
        <f>+[15]restated!R41/10^7</f>
        <v>-0.51508050000000005</v>
      </c>
      <c r="I247" s="1246"/>
    </row>
    <row r="248" spans="1:9" ht="15" x14ac:dyDescent="0.25">
      <c r="A248" s="1215"/>
      <c r="B248" s="1216"/>
      <c r="C248" s="1211" t="s">
        <v>305</v>
      </c>
      <c r="D248" s="1214"/>
      <c r="E248" s="1214"/>
      <c r="F248" s="1213"/>
      <c r="G248" s="1214"/>
      <c r="H248" s="1238"/>
      <c r="I248" s="1246"/>
    </row>
    <row r="249" spans="1:9" ht="15" x14ac:dyDescent="0.25">
      <c r="A249" s="1215"/>
      <c r="B249" s="1216"/>
      <c r="C249" s="1211" t="s">
        <v>2121</v>
      </c>
      <c r="D249" s="1214"/>
      <c r="E249" s="1214">
        <f>SUM(D250:D252)</f>
        <v>12.276476469000002</v>
      </c>
      <c r="F249" s="1213"/>
      <c r="G249" s="1214">
        <f>SUM(F250:F252)</f>
        <v>28.635460676000001</v>
      </c>
      <c r="H249" s="1238"/>
      <c r="I249" s="1246"/>
    </row>
    <row r="250" spans="1:9" ht="15" x14ac:dyDescent="0.25">
      <c r="A250" s="1209">
        <v>71600</v>
      </c>
      <c r="B250" s="1216"/>
      <c r="C250" s="1226" t="s">
        <v>2122</v>
      </c>
      <c r="D250" s="1214">
        <f>'[15]Input Sheet'!G1171</f>
        <v>10.121149648000001</v>
      </c>
      <c r="E250" s="1214"/>
      <c r="F250" s="1213">
        <v>29.496597624</v>
      </c>
      <c r="G250" s="1214"/>
      <c r="H250" s="1238"/>
      <c r="I250" s="1246"/>
    </row>
    <row r="251" spans="1:9" ht="15" x14ac:dyDescent="0.25">
      <c r="A251" s="1209">
        <f>'[15]Input Sheet'!D1172</f>
        <v>71601</v>
      </c>
      <c r="B251" s="1216"/>
      <c r="C251" s="1226" t="str">
        <f>'[15]Input Sheet'!E1172</f>
        <v>Consumption Lubricants &amp; consumables-Fi</v>
      </c>
      <c r="D251" s="1219">
        <f>'[15]Input Sheet'!G1172</f>
        <v>0</v>
      </c>
      <c r="E251" s="1214"/>
      <c r="F251" s="1213">
        <v>0</v>
      </c>
      <c r="G251" s="1214"/>
      <c r="H251" s="1238"/>
      <c r="I251" s="1246"/>
    </row>
    <row r="252" spans="1:9" ht="15" x14ac:dyDescent="0.25">
      <c r="A252" s="1209">
        <v>79120</v>
      </c>
      <c r="B252" s="1216"/>
      <c r="C252" s="1226" t="s">
        <v>2123</v>
      </c>
      <c r="D252" s="1214">
        <f>'[15]Input Sheet'!G1331</f>
        <v>2.1553268210000001</v>
      </c>
      <c r="E252" s="1214"/>
      <c r="F252" s="1213">
        <v>-0.86113694800000007</v>
      </c>
      <c r="G252" s="1214"/>
      <c r="H252" s="1238"/>
      <c r="I252" s="1246"/>
    </row>
    <row r="253" spans="1:9" ht="15" x14ac:dyDescent="0.25">
      <c r="A253" s="1209">
        <v>79561</v>
      </c>
      <c r="B253" s="1216"/>
      <c r="C253" s="1226" t="s">
        <v>1997</v>
      </c>
      <c r="D253" s="1214">
        <f>IF('[15]Input Sheet'!G1340&gt;0,'[15]Input Sheet'!G1340,0)</f>
        <v>24.146281619</v>
      </c>
      <c r="E253" s="1214">
        <f>+D253</f>
        <v>24.146281619</v>
      </c>
      <c r="F253" s="1213">
        <v>0</v>
      </c>
      <c r="G253" s="1214">
        <f>F253</f>
        <v>0</v>
      </c>
      <c r="H253" s="1238"/>
      <c r="I253" s="1246"/>
    </row>
    <row r="254" spans="1:9" ht="15" x14ac:dyDescent="0.25">
      <c r="A254" s="1215"/>
      <c r="B254" s="1216"/>
      <c r="C254" s="1226"/>
      <c r="D254" s="1214"/>
      <c r="E254" s="1214"/>
      <c r="F254" s="1213"/>
      <c r="G254" s="1214"/>
      <c r="H254" s="1238"/>
      <c r="I254" s="1246"/>
    </row>
    <row r="255" spans="1:9" ht="15" x14ac:dyDescent="0.25">
      <c r="A255" s="1209">
        <v>76160</v>
      </c>
      <c r="B255" s="1216"/>
      <c r="C255" s="1211" t="s">
        <v>2124</v>
      </c>
      <c r="D255" s="1214"/>
      <c r="E255" s="1214">
        <f>'[15]Input Sheet'!G1265</f>
        <v>0.174520801</v>
      </c>
      <c r="F255" s="1213"/>
      <c r="G255" s="1214">
        <v>0.17906525300000001</v>
      </c>
      <c r="H255" s="1238"/>
      <c r="I255" s="1246"/>
    </row>
    <row r="256" spans="1:9" ht="15" x14ac:dyDescent="0.25">
      <c r="A256" s="1209"/>
      <c r="B256" s="1216"/>
      <c r="C256" s="1211"/>
      <c r="D256" s="1214"/>
      <c r="E256" s="1214"/>
      <c r="F256" s="1213"/>
      <c r="G256" s="1214"/>
      <c r="H256" s="1238"/>
      <c r="I256" s="1246"/>
    </row>
    <row r="257" spans="1:17" ht="15" x14ac:dyDescent="0.25">
      <c r="A257" s="1215"/>
      <c r="B257" s="1216"/>
      <c r="C257" s="1211" t="s">
        <v>745</v>
      </c>
      <c r="D257" s="1214"/>
      <c r="E257" s="1214">
        <f>SUM(D258:D260)</f>
        <v>48.744779434999991</v>
      </c>
      <c r="F257" s="1213"/>
      <c r="G257" s="1214">
        <f>SUM(F258:F260)</f>
        <v>39.113139724</v>
      </c>
      <c r="H257" s="1238"/>
      <c r="I257" s="1246"/>
    </row>
    <row r="258" spans="1:17" ht="15" x14ac:dyDescent="0.25">
      <c r="A258" s="1209">
        <v>76121</v>
      </c>
      <c r="B258" s="1216"/>
      <c r="C258" s="1226" t="s">
        <v>2125</v>
      </c>
      <c r="D258" s="1214">
        <f>'[15]Input Sheet'!G1247</f>
        <v>1.7269347019999999</v>
      </c>
      <c r="E258" s="1214"/>
      <c r="F258" s="1213">
        <v>1.9680866399999999</v>
      </c>
      <c r="G258" s="1214"/>
      <c r="H258" s="1238"/>
      <c r="I258" s="1246"/>
    </row>
    <row r="259" spans="1:17" ht="15" x14ac:dyDescent="0.25">
      <c r="A259" s="1209">
        <v>76124</v>
      </c>
      <c r="B259" s="1216"/>
      <c r="C259" s="1226" t="s">
        <v>2126</v>
      </c>
      <c r="D259" s="1214">
        <f>'[15]Input Sheet'!G1250</f>
        <v>10.991666904999999</v>
      </c>
      <c r="E259" s="1214"/>
      <c r="F259" s="1213">
        <v>12.59657666</v>
      </c>
      <c r="G259" s="1214"/>
      <c r="H259" s="1238"/>
      <c r="I259" s="1246"/>
    </row>
    <row r="260" spans="1:17" ht="15" x14ac:dyDescent="0.25">
      <c r="A260" s="1209">
        <v>76123</v>
      </c>
      <c r="B260" s="1216"/>
      <c r="C260" s="1226" t="s">
        <v>2127</v>
      </c>
      <c r="D260" s="1214">
        <f>'[15]Input Sheet'!G1249</f>
        <v>36.026177827999994</v>
      </c>
      <c r="E260" s="1214"/>
      <c r="F260" s="1213">
        <f>23.880643302+H260</f>
        <v>24.548476424</v>
      </c>
      <c r="G260" s="1214"/>
      <c r="H260" s="1269">
        <f>+[15]restated!R43/10^7</f>
        <v>0.667833122</v>
      </c>
      <c r="I260" s="1246"/>
    </row>
    <row r="261" spans="1:17" ht="15" x14ac:dyDescent="0.25">
      <c r="A261" s="1215"/>
      <c r="B261" s="1216"/>
      <c r="C261" s="1226"/>
      <c r="D261" s="1214"/>
      <c r="E261" s="1214"/>
      <c r="F261" s="1213"/>
      <c r="G261" s="1214"/>
      <c r="H261" s="1238"/>
      <c r="I261" s="1246"/>
    </row>
    <row r="262" spans="1:17" ht="15" x14ac:dyDescent="0.25">
      <c r="A262" s="1209">
        <v>71215</v>
      </c>
      <c r="B262" s="1216"/>
      <c r="C262" s="1211" t="s">
        <v>746</v>
      </c>
      <c r="D262" s="1214"/>
      <c r="E262" s="1214">
        <f>'[15]Input Sheet'!G1152</f>
        <v>0</v>
      </c>
      <c r="F262" s="1213"/>
      <c r="G262" s="1214">
        <v>0</v>
      </c>
      <c r="H262" s="1238"/>
      <c r="I262" s="1246"/>
    </row>
    <row r="263" spans="1:17" ht="15" x14ac:dyDescent="0.25">
      <c r="A263" s="1209"/>
      <c r="B263" s="1216"/>
      <c r="C263" s="1211" t="s">
        <v>2128</v>
      </c>
      <c r="D263" s="1214"/>
      <c r="E263" s="1214">
        <f>D265+D264</f>
        <v>10.1295114</v>
      </c>
      <c r="F263" s="1214"/>
      <c r="G263" s="1214">
        <f>F264+F265</f>
        <v>18.280990943999999</v>
      </c>
      <c r="H263" s="1238"/>
      <c r="I263" s="1246"/>
    </row>
    <row r="264" spans="1:17" ht="15" x14ac:dyDescent="0.25">
      <c r="A264" s="1209">
        <v>78883</v>
      </c>
      <c r="B264" s="1216"/>
      <c r="C264" s="1236" t="s">
        <v>2129</v>
      </c>
      <c r="D264" s="1214">
        <f>'[15]Input Sheet'!G1329</f>
        <v>0.97752328699999991</v>
      </c>
      <c r="E264" s="1214"/>
      <c r="F264" s="1214">
        <v>1.466586068</v>
      </c>
      <c r="G264" s="1214"/>
      <c r="H264" s="1238"/>
      <c r="I264" s="1246"/>
    </row>
    <row r="265" spans="1:17" s="1205" customFormat="1" ht="15" x14ac:dyDescent="0.25">
      <c r="A265" s="1270">
        <v>78882</v>
      </c>
      <c r="B265" s="1271"/>
      <c r="C265" s="1272" t="s">
        <v>2130</v>
      </c>
      <c r="D265" s="1273">
        <f>'[15]Input Sheet'!G1328</f>
        <v>9.1519881129999998</v>
      </c>
      <c r="E265" s="1273"/>
      <c r="F265" s="1274">
        <v>16.814404875999998</v>
      </c>
      <c r="G265" s="1214"/>
      <c r="H265" s="1238"/>
      <c r="I265" s="1246"/>
      <c r="Q265" s="1058"/>
    </row>
    <row r="266" spans="1:17" s="1205" customFormat="1" ht="15" x14ac:dyDescent="0.25">
      <c r="A266" s="1270"/>
      <c r="B266" s="1271"/>
      <c r="C266" s="1272"/>
      <c r="D266" s="1273"/>
      <c r="E266" s="1273"/>
      <c r="F266" s="1274"/>
      <c r="G266" s="1214"/>
      <c r="H266" s="1238"/>
      <c r="I266" s="1246"/>
      <c r="Q266" s="1058"/>
    </row>
    <row r="267" spans="1:17" ht="26.25" x14ac:dyDescent="0.25">
      <c r="A267" s="1209">
        <v>79726</v>
      </c>
      <c r="B267" s="1216"/>
      <c r="C267" s="1275" t="s">
        <v>2131</v>
      </c>
      <c r="D267" s="1214"/>
      <c r="E267" s="1214">
        <f>'[15]Input Sheet'!G1349</f>
        <v>10.056178158</v>
      </c>
      <c r="F267" s="1213"/>
      <c r="G267" s="1214">
        <f>10.342248377+H267</f>
        <v>7.0382001300000008</v>
      </c>
      <c r="H267" s="1269">
        <f>+[15]restated!R59/10^7</f>
        <v>-3.3040482469999999</v>
      </c>
      <c r="I267" s="1246"/>
    </row>
    <row r="268" spans="1:17" ht="15" x14ac:dyDescent="0.25">
      <c r="A268" s="1209">
        <v>79420</v>
      </c>
      <c r="B268" s="1216"/>
      <c r="C268" s="1211" t="s">
        <v>749</v>
      </c>
      <c r="D268" s="1214"/>
      <c r="E268" s="1214">
        <f>'[15]Input Sheet'!G1336</f>
        <v>47.370661446</v>
      </c>
      <c r="F268" s="1213"/>
      <c r="G268" s="1214">
        <v>10.746824050000001</v>
      </c>
      <c r="H268" s="1238"/>
      <c r="I268" s="1246"/>
    </row>
    <row r="269" spans="1:17" ht="15" x14ac:dyDescent="0.25">
      <c r="A269" s="1209">
        <v>78844</v>
      </c>
      <c r="B269" s="1216"/>
      <c r="C269" s="1211" t="s">
        <v>2132</v>
      </c>
      <c r="D269" s="1214"/>
      <c r="E269" s="1214">
        <f>'[15]Input Sheet'!G1323</f>
        <v>0</v>
      </c>
      <c r="F269" s="1213"/>
      <c r="G269" s="1214">
        <f>0+H269</f>
        <v>2255.4344792000002</v>
      </c>
      <c r="H269" s="1269">
        <f>+[15]restated!R58/10^7</f>
        <v>2255.4344792000002</v>
      </c>
      <c r="I269" s="1246"/>
    </row>
    <row r="270" spans="1:17" ht="15" x14ac:dyDescent="0.25">
      <c r="A270" s="1209">
        <v>76170</v>
      </c>
      <c r="B270" s="1216"/>
      <c r="C270" s="1226" t="s">
        <v>2133</v>
      </c>
      <c r="D270" s="1214"/>
      <c r="E270" s="1214">
        <f>'[15]Input Sheet'!G1274</f>
        <v>162.60806342999999</v>
      </c>
      <c r="F270" s="1213"/>
      <c r="G270" s="1213">
        <v>142.994912196</v>
      </c>
      <c r="H270" s="1238"/>
      <c r="I270" s="1246"/>
    </row>
    <row r="271" spans="1:17" ht="15" x14ac:dyDescent="0.25">
      <c r="A271" s="1209">
        <v>76166</v>
      </c>
      <c r="B271" s="1216"/>
      <c r="C271" s="1226" t="s">
        <v>752</v>
      </c>
      <c r="D271" s="1214"/>
      <c r="E271" s="1214">
        <f>'[15]Input Sheet'!G1270</f>
        <v>72.163088553999998</v>
      </c>
      <c r="F271" s="1213"/>
      <c r="G271" s="1213">
        <f>74.362762492+H271-4.2</f>
        <v>70.190652495999998</v>
      </c>
      <c r="H271" s="1269">
        <f>+[15]restated!R47/10^7</f>
        <v>2.7890004000000003E-2</v>
      </c>
      <c r="I271" s="1276">
        <v>4.2</v>
      </c>
    </row>
    <row r="272" spans="1:17" ht="15" x14ac:dyDescent="0.25">
      <c r="A272" s="1209">
        <v>76139</v>
      </c>
      <c r="B272" s="1216"/>
      <c r="C272" s="1226" t="s">
        <v>753</v>
      </c>
      <c r="D272" s="1214"/>
      <c r="E272" s="1214">
        <f>'[15]Input Sheet'!G1257</f>
        <v>40.774621467999999</v>
      </c>
      <c r="F272" s="1213"/>
      <c r="G272" s="1213">
        <f>35.735643924+H272</f>
        <v>35.740997724000003</v>
      </c>
      <c r="H272" s="1269">
        <f>+[15]restated!R46/10^7</f>
        <v>5.3537999999999997E-3</v>
      </c>
      <c r="I272" s="1246"/>
    </row>
    <row r="273" spans="1:9" ht="15" x14ac:dyDescent="0.25">
      <c r="A273" s="1209"/>
      <c r="B273" s="1216"/>
      <c r="C273" s="1211"/>
      <c r="D273" s="1214"/>
      <c r="E273" s="1214"/>
      <c r="F273" s="1213"/>
      <c r="G273" s="1214"/>
      <c r="H273" s="1238"/>
      <c r="I273" s="1246"/>
    </row>
    <row r="274" spans="1:9" ht="15" x14ac:dyDescent="0.25">
      <c r="A274" s="1215"/>
      <c r="B274" s="1216"/>
      <c r="C274" s="1211" t="s">
        <v>754</v>
      </c>
      <c r="D274" s="1214"/>
      <c r="E274" s="1214">
        <f>SUM(D275:D315)</f>
        <v>83.284116881999992</v>
      </c>
      <c r="F274" s="1213"/>
      <c r="G274" s="1214">
        <f>SUM(F275:F315)</f>
        <v>75.007526737999996</v>
      </c>
      <c r="H274" s="1238"/>
    </row>
    <row r="275" spans="1:9" ht="15" x14ac:dyDescent="0.25">
      <c r="A275" s="1209">
        <v>76110</v>
      </c>
      <c r="B275" s="1216"/>
      <c r="C275" s="1226" t="s">
        <v>2134</v>
      </c>
      <c r="D275" s="1212">
        <f>'[15]Input Sheet'!G1244</f>
        <v>0</v>
      </c>
      <c r="E275" s="1214"/>
      <c r="F275" s="1213">
        <v>-2.7416499999999999E-4</v>
      </c>
      <c r="G275" s="1214"/>
      <c r="H275" s="1238"/>
      <c r="I275" s="1246"/>
    </row>
    <row r="276" spans="1:9" ht="15" x14ac:dyDescent="0.25">
      <c r="A276" s="1209">
        <v>76111</v>
      </c>
      <c r="B276" s="1216"/>
      <c r="C276" s="1226" t="s">
        <v>2135</v>
      </c>
      <c r="D276" s="619">
        <f>'[15]Input Sheet'!G1245</f>
        <v>2.6468929649999997</v>
      </c>
      <c r="E276" s="1214"/>
      <c r="F276" s="1213">
        <v>2.3177989700000001</v>
      </c>
      <c r="G276" s="1214"/>
      <c r="H276" s="1238"/>
      <c r="I276" s="1246"/>
    </row>
    <row r="277" spans="1:9" ht="15" x14ac:dyDescent="0.25">
      <c r="A277" s="1209">
        <v>76112</v>
      </c>
      <c r="B277" s="1216"/>
      <c r="C277" s="1226" t="s">
        <v>2136</v>
      </c>
      <c r="D277" s="1214">
        <f>'[15]Input Sheet'!G1246</f>
        <v>0.113314768</v>
      </c>
      <c r="E277" s="1214"/>
      <c r="F277" s="1213">
        <v>0.13053919999999999</v>
      </c>
      <c r="G277" s="1214"/>
      <c r="H277" s="1238"/>
      <c r="I277" s="1246"/>
    </row>
    <row r="278" spans="1:9" ht="15" x14ac:dyDescent="0.25">
      <c r="A278" s="1209">
        <v>76127</v>
      </c>
      <c r="B278" s="1216"/>
      <c r="C278" s="1226" t="s">
        <v>2137</v>
      </c>
      <c r="D278" s="1214">
        <f>'[15]Input Sheet'!G1251</f>
        <v>7.7600000000000004E-3</v>
      </c>
      <c r="E278" s="1214"/>
      <c r="F278" s="1213">
        <v>6.8999999999999999E-3</v>
      </c>
      <c r="G278" s="1214"/>
      <c r="H278" s="1238"/>
      <c r="I278" s="1246"/>
    </row>
    <row r="279" spans="1:9" ht="15" x14ac:dyDescent="0.25">
      <c r="A279" s="1209">
        <v>76128</v>
      </c>
      <c r="B279" s="1216"/>
      <c r="C279" s="1226" t="s">
        <v>2138</v>
      </c>
      <c r="D279" s="1214">
        <f>'[15]Input Sheet'!G1252</f>
        <v>0.16636809999999999</v>
      </c>
      <c r="E279" s="1214"/>
      <c r="F279" s="1213">
        <v>7.0853299999999994E-2</v>
      </c>
      <c r="G279" s="1214"/>
      <c r="H279" s="1238"/>
      <c r="I279" s="1246"/>
    </row>
    <row r="280" spans="1:9" ht="15" x14ac:dyDescent="0.25">
      <c r="A280" s="1209">
        <v>76131</v>
      </c>
      <c r="B280" s="1216"/>
      <c r="C280" s="1226" t="s">
        <v>2139</v>
      </c>
      <c r="D280" s="1214">
        <f>'[15]Input Sheet'!G1253</f>
        <v>0.1629765</v>
      </c>
      <c r="E280" s="1214"/>
      <c r="F280" s="1213">
        <v>0.14938319999999999</v>
      </c>
      <c r="G280" s="1214"/>
      <c r="H280" s="1238"/>
      <c r="I280" s="1246"/>
    </row>
    <row r="281" spans="1:9" ht="15" x14ac:dyDescent="0.25">
      <c r="A281" s="1209">
        <v>76132</v>
      </c>
      <c r="B281" s="1216"/>
      <c r="C281" s="1226" t="s">
        <v>2140</v>
      </c>
      <c r="D281" s="1214">
        <f>'[15]Input Sheet'!G1254</f>
        <v>12.720086800000001</v>
      </c>
      <c r="E281" s="1214"/>
      <c r="F281" s="1213">
        <f>8.6365571+H281</f>
        <v>8.6526980939999998</v>
      </c>
      <c r="G281" s="1214"/>
      <c r="H281" s="1269">
        <f>+[15]restated!R44/10^7</f>
        <v>1.6140993999999999E-2</v>
      </c>
      <c r="I281" s="1246"/>
    </row>
    <row r="282" spans="1:9" ht="15" x14ac:dyDescent="0.25">
      <c r="A282" s="1209">
        <v>76136</v>
      </c>
      <c r="B282" s="1216"/>
      <c r="C282" s="1226" t="s">
        <v>2141</v>
      </c>
      <c r="D282" s="1214">
        <f>'[15]Input Sheet'!G1255</f>
        <v>1.7837271190000001</v>
      </c>
      <c r="E282" s="1214"/>
      <c r="F282" s="1213">
        <v>1.600109869</v>
      </c>
      <c r="G282" s="1214"/>
      <c r="H282" s="1238"/>
      <c r="I282" s="1246"/>
    </row>
    <row r="283" spans="1:9" ht="15" x14ac:dyDescent="0.25">
      <c r="A283" s="1209">
        <v>76138</v>
      </c>
      <c r="B283" s="1216"/>
      <c r="C283" s="1226" t="s">
        <v>2142</v>
      </c>
      <c r="D283" s="1214">
        <f>'[15]Input Sheet'!G1256</f>
        <v>8.9801000000000006E-2</v>
      </c>
      <c r="E283" s="1214"/>
      <c r="F283" s="1213">
        <v>9.8873600000000006E-2</v>
      </c>
      <c r="G283" s="1214"/>
      <c r="H283" s="1238"/>
      <c r="I283" s="1246"/>
    </row>
    <row r="284" spans="1:9" ht="15" x14ac:dyDescent="0.25">
      <c r="A284" s="1209">
        <v>76140</v>
      </c>
      <c r="B284" s="1216"/>
      <c r="C284" t="s">
        <v>2143</v>
      </c>
      <c r="D284" s="1213">
        <f>'[15]Input Sheet'!G1258</f>
        <v>0</v>
      </c>
      <c r="E284" s="1214"/>
      <c r="F284" s="1213">
        <v>0</v>
      </c>
      <c r="G284" s="1214"/>
      <c r="H284" s="1238"/>
      <c r="I284" s="1246"/>
    </row>
    <row r="285" spans="1:9" ht="15" x14ac:dyDescent="0.25">
      <c r="A285" s="1209">
        <v>76151</v>
      </c>
      <c r="B285" s="1216"/>
      <c r="C285" s="1226" t="s">
        <v>2144</v>
      </c>
      <c r="D285" s="1214">
        <f>'[15]Input Sheet'!G1259</f>
        <v>13.758764681000001</v>
      </c>
      <c r="E285" s="1214"/>
      <c r="F285" s="1213">
        <v>6.7680251360000003</v>
      </c>
      <c r="G285" s="1214"/>
      <c r="H285" s="1238"/>
      <c r="I285" s="1246"/>
    </row>
    <row r="286" spans="1:9" ht="15" x14ac:dyDescent="0.25">
      <c r="A286" s="1209">
        <v>76152</v>
      </c>
      <c r="B286" s="1216"/>
      <c r="C286" s="1226" t="s">
        <v>2145</v>
      </c>
      <c r="D286" s="1214">
        <f>'[15]Input Sheet'!G1260</f>
        <v>8.96512E-2</v>
      </c>
      <c r="E286" s="1214"/>
      <c r="F286" s="1213">
        <v>8.9861800000000006E-2</v>
      </c>
      <c r="G286" s="1214"/>
      <c r="H286" s="1238"/>
      <c r="I286" s="1246"/>
    </row>
    <row r="287" spans="1:9" ht="15" x14ac:dyDescent="0.25">
      <c r="A287" s="1209">
        <v>76153</v>
      </c>
      <c r="B287" s="1216"/>
      <c r="C287" s="1226" t="s">
        <v>2146</v>
      </c>
      <c r="D287" s="1214">
        <f>'[15]Input Sheet'!G1261</f>
        <v>1.2521797400000001</v>
      </c>
      <c r="E287" s="1214"/>
      <c r="F287" s="1213">
        <v>4.3472671529999998</v>
      </c>
      <c r="G287" s="1214"/>
      <c r="H287" s="1238"/>
      <c r="I287" s="1246"/>
    </row>
    <row r="288" spans="1:9" ht="15" x14ac:dyDescent="0.25">
      <c r="A288" s="1209">
        <v>76154</v>
      </c>
      <c r="B288" s="1216"/>
      <c r="C288" s="1226" t="s">
        <v>2147</v>
      </c>
      <c r="D288" s="1214">
        <f>'[15]Input Sheet'!G1262</f>
        <v>4.4809504759999994</v>
      </c>
      <c r="E288" s="1214"/>
      <c r="F288" s="1213">
        <v>1.9191988059999998</v>
      </c>
      <c r="G288" s="1214"/>
      <c r="H288" s="1238"/>
      <c r="I288" s="1246"/>
    </row>
    <row r="289" spans="1:9" ht="15" x14ac:dyDescent="0.25">
      <c r="A289" s="1209">
        <v>76155</v>
      </c>
      <c r="B289" s="1216"/>
      <c r="C289" s="1226" t="s">
        <v>2148</v>
      </c>
      <c r="D289" s="1214">
        <f>'[15]Input Sheet'!G1263</f>
        <v>1.612004239</v>
      </c>
      <c r="E289" s="1214"/>
      <c r="F289" s="1213">
        <v>0.864329876</v>
      </c>
      <c r="G289" s="1214"/>
      <c r="H289" s="1238"/>
      <c r="I289" s="1246"/>
    </row>
    <row r="290" spans="1:9" ht="15" x14ac:dyDescent="0.25">
      <c r="A290" s="1209">
        <v>76158</v>
      </c>
      <c r="B290" s="1216"/>
      <c r="C290" s="1226" t="s">
        <v>2149</v>
      </c>
      <c r="D290" s="1214">
        <f>'[15]Input Sheet'!G1264</f>
        <v>10.539388520000001</v>
      </c>
      <c r="E290" s="1214"/>
      <c r="F290" s="1213">
        <v>10.289067153</v>
      </c>
      <c r="G290" s="1214"/>
      <c r="H290" s="1238"/>
      <c r="I290" s="1246"/>
    </row>
    <row r="291" spans="1:9" ht="15" x14ac:dyDescent="0.25">
      <c r="A291" s="1209">
        <v>76161</v>
      </c>
      <c r="B291" s="1216"/>
      <c r="C291" s="1226" t="s">
        <v>2150</v>
      </c>
      <c r="D291" s="1214">
        <f>'[15]Input Sheet'!G1266</f>
        <v>1.5368999999999999E-3</v>
      </c>
      <c r="E291" s="1214"/>
      <c r="F291" s="1213">
        <v>2.9579999999999998E-4</v>
      </c>
      <c r="G291" s="1214"/>
      <c r="H291" s="1238"/>
      <c r="I291" s="1246"/>
    </row>
    <row r="292" spans="1:9" ht="15" x14ac:dyDescent="0.25">
      <c r="A292" s="1209">
        <v>76162</v>
      </c>
      <c r="B292" s="1216"/>
      <c r="C292" s="1226" t="s">
        <v>2151</v>
      </c>
      <c r="D292" s="1214">
        <f>'[15]Input Sheet'!G1267</f>
        <v>2.4364552659999998</v>
      </c>
      <c r="E292" s="1214"/>
      <c r="F292" s="1213">
        <v>2.1568145800000003</v>
      </c>
      <c r="G292" s="1214"/>
      <c r="H292" s="1238"/>
      <c r="I292" s="1246"/>
    </row>
    <row r="293" spans="1:9" ht="15" x14ac:dyDescent="0.25">
      <c r="A293" s="1209">
        <v>76164</v>
      </c>
      <c r="B293" s="1216"/>
      <c r="C293" s="1226" t="s">
        <v>2152</v>
      </c>
      <c r="D293" s="1214">
        <f>'[15]Input Sheet'!G1268</f>
        <v>0</v>
      </c>
      <c r="E293" s="1214"/>
      <c r="F293" s="1213">
        <v>0</v>
      </c>
      <c r="G293" s="1214"/>
      <c r="H293" s="1238"/>
      <c r="I293" s="1246"/>
    </row>
    <row r="294" spans="1:9" ht="15" x14ac:dyDescent="0.25">
      <c r="A294" s="1209">
        <v>76165</v>
      </c>
      <c r="B294" s="1216"/>
      <c r="C294" s="1226" t="s">
        <v>2153</v>
      </c>
      <c r="D294" s="1214">
        <f>'[15]Input Sheet'!G1269</f>
        <v>1.4174006050000001</v>
      </c>
      <c r="E294" s="1214"/>
      <c r="F294" s="1213">
        <v>0.84438601899999999</v>
      </c>
      <c r="G294" s="1214"/>
      <c r="H294" s="1238"/>
      <c r="I294" s="1246"/>
    </row>
    <row r="295" spans="1:9" ht="15" x14ac:dyDescent="0.25">
      <c r="A295" s="1209">
        <v>76167</v>
      </c>
      <c r="B295" s="1216"/>
      <c r="C295" s="1226" t="s">
        <v>2154</v>
      </c>
      <c r="D295" s="1214">
        <f>'[15]Input Sheet'!G1271</f>
        <v>0.24724368300000002</v>
      </c>
      <c r="E295" s="1214"/>
      <c r="F295" s="1213">
        <v>0.32574509200000001</v>
      </c>
      <c r="G295" s="1214"/>
      <c r="H295" s="1238"/>
      <c r="I295" s="1246"/>
    </row>
    <row r="296" spans="1:9" ht="15" x14ac:dyDescent="0.25">
      <c r="A296" s="1209">
        <v>76168</v>
      </c>
      <c r="B296" s="1216"/>
      <c r="C296" s="1226" t="s">
        <v>2155</v>
      </c>
      <c r="D296" s="1214">
        <f>'[15]Input Sheet'!G1272</f>
        <v>2.4640000000000003E-4</v>
      </c>
      <c r="E296" s="1214"/>
      <c r="F296" s="1213">
        <v>9.6000000000000002E-5</v>
      </c>
      <c r="G296" s="1214"/>
      <c r="H296" s="1238"/>
      <c r="I296" s="1246"/>
    </row>
    <row r="297" spans="1:9" ht="15" x14ac:dyDescent="0.25">
      <c r="A297" s="1209">
        <v>76169</v>
      </c>
      <c r="B297" s="1216"/>
      <c r="C297" s="1226" t="s">
        <v>2156</v>
      </c>
      <c r="D297" s="1214">
        <f>'[15]Input Sheet'!G1273</f>
        <v>3.7760731240000003</v>
      </c>
      <c r="E297" s="1214"/>
      <c r="F297" s="1213">
        <v>5.770841968</v>
      </c>
      <c r="G297" s="1214"/>
      <c r="H297" s="1238"/>
      <c r="I297" s="1246"/>
    </row>
    <row r="298" spans="1:9" ht="15" x14ac:dyDescent="0.25">
      <c r="A298" s="1209">
        <v>76190</v>
      </c>
      <c r="B298" s="1216"/>
      <c r="C298" s="1226" t="s">
        <v>2157</v>
      </c>
      <c r="D298" s="1214">
        <f>'[15]Input Sheet'!G1275</f>
        <v>5.6311246999999995E-2</v>
      </c>
      <c r="E298" s="1214"/>
      <c r="F298" s="1213">
        <v>0.15751580400000001</v>
      </c>
      <c r="G298" s="1214"/>
      <c r="H298" s="1238"/>
      <c r="I298" s="1246"/>
    </row>
    <row r="299" spans="1:9" ht="15" x14ac:dyDescent="0.25">
      <c r="A299" s="1209">
        <v>76193</v>
      </c>
      <c r="B299" s="1216"/>
      <c r="C299" s="1226" t="s">
        <v>2158</v>
      </c>
      <c r="D299" s="1214">
        <f>'[15]Input Sheet'!G1278</f>
        <v>5.8046749999999996</v>
      </c>
      <c r="E299" s="1214"/>
      <c r="F299" s="1213">
        <v>13.457875</v>
      </c>
      <c r="G299" s="1214"/>
      <c r="H299" s="1238"/>
      <c r="I299" s="1246"/>
    </row>
    <row r="300" spans="1:9" ht="15" x14ac:dyDescent="0.25">
      <c r="A300" s="1209">
        <v>76220</v>
      </c>
      <c r="B300" s="1216"/>
      <c r="C300" s="1226" t="s">
        <v>2159</v>
      </c>
      <c r="D300" s="1214">
        <f>'[15]Input Sheet'!G1279</f>
        <v>0.1323886</v>
      </c>
      <c r="E300" s="1214"/>
      <c r="F300" s="1213">
        <v>8.3846830000000011E-2</v>
      </c>
      <c r="G300" s="1214"/>
      <c r="H300" s="1238"/>
      <c r="I300" s="1246"/>
    </row>
    <row r="301" spans="1:9" ht="15" x14ac:dyDescent="0.25">
      <c r="A301" s="1209">
        <v>76240</v>
      </c>
      <c r="B301" s="1216"/>
      <c r="C301" s="1226" t="s">
        <v>2160</v>
      </c>
      <c r="D301" s="1214">
        <f>'[15]Input Sheet'!G1281</f>
        <v>0.14161650000000001</v>
      </c>
      <c r="E301" s="1214"/>
      <c r="F301" s="1213">
        <v>7.4666289999999996E-2</v>
      </c>
      <c r="G301" s="1214"/>
      <c r="H301" s="1238"/>
      <c r="I301" s="1246"/>
    </row>
    <row r="302" spans="1:9" ht="15" x14ac:dyDescent="0.25">
      <c r="A302" s="1209">
        <v>76250</v>
      </c>
      <c r="B302" s="1216"/>
      <c r="C302" s="1226" t="s">
        <v>2161</v>
      </c>
      <c r="D302" s="1214">
        <f>'[15]Input Sheet'!G1282</f>
        <v>5.4900000000000001E-4</v>
      </c>
      <c r="E302" s="1214"/>
      <c r="F302" s="1213">
        <v>1.7034999999999999E-3</v>
      </c>
      <c r="G302" s="1214"/>
      <c r="H302" s="1238"/>
      <c r="I302" s="1246"/>
    </row>
    <row r="303" spans="1:9" ht="15" x14ac:dyDescent="0.25">
      <c r="A303" s="1209">
        <v>76260</v>
      </c>
      <c r="B303" s="1216"/>
      <c r="C303" s="1226" t="s">
        <v>2162</v>
      </c>
      <c r="D303" s="1214">
        <f>'[15]Input Sheet'!G1283</f>
        <v>5.6216966560000001</v>
      </c>
      <c r="E303" s="1214"/>
      <c r="F303" s="1213">
        <v>7.9380428319999989</v>
      </c>
      <c r="G303" s="1214"/>
      <c r="H303" s="1238"/>
      <c r="I303" s="1246"/>
    </row>
    <row r="304" spans="1:9" ht="15" x14ac:dyDescent="0.25">
      <c r="A304" s="1209">
        <v>76270</v>
      </c>
      <c r="B304" s="1216"/>
      <c r="C304" s="1226" t="s">
        <v>2163</v>
      </c>
      <c r="D304" s="1214">
        <f>'[15]Input Sheet'!G1284</f>
        <v>3.8956963420000004</v>
      </c>
      <c r="E304" s="1214"/>
      <c r="F304" s="1213">
        <v>5.9936131999999996E-2</v>
      </c>
      <c r="G304" s="1214"/>
      <c r="H304" s="1238"/>
      <c r="I304" s="1246"/>
    </row>
    <row r="305" spans="1:11" ht="15" x14ac:dyDescent="0.25">
      <c r="A305" s="1209">
        <v>76280</v>
      </c>
      <c r="B305" s="1216"/>
      <c r="C305" s="1226" t="s">
        <v>2164</v>
      </c>
      <c r="D305" s="1214">
        <f>('[15]Input Sheet'!G1285)</f>
        <v>3.3044340499999998</v>
      </c>
      <c r="E305" s="1214"/>
      <c r="F305" s="1213">
        <v>0.16468705</v>
      </c>
      <c r="G305" s="1214"/>
      <c r="H305" s="1238"/>
      <c r="I305" s="1246"/>
    </row>
    <row r="306" spans="1:11" ht="15" x14ac:dyDescent="0.25">
      <c r="A306" s="1209">
        <v>76299</v>
      </c>
      <c r="B306" s="1216"/>
      <c r="C306" s="1226" t="s">
        <v>2165</v>
      </c>
      <c r="D306" s="1214">
        <f>'[15]Input Sheet'!G1286</f>
        <v>3.725100743</v>
      </c>
      <c r="E306" s="1214"/>
      <c r="F306" s="1213">
        <v>5.3791538719999998</v>
      </c>
      <c r="G306" s="1214"/>
      <c r="H306" s="1238"/>
      <c r="I306" s="1246"/>
    </row>
    <row r="307" spans="1:11" ht="15" x14ac:dyDescent="0.25">
      <c r="A307" s="1209">
        <v>76301</v>
      </c>
      <c r="B307" s="1216"/>
      <c r="C307" s="1226" t="s">
        <v>2166</v>
      </c>
      <c r="D307" s="1214">
        <f>'[15]Input Sheet'!G1287</f>
        <v>2.5950000000000002</v>
      </c>
      <c r="E307" s="1214"/>
      <c r="F307" s="1213">
        <f>+H307</f>
        <v>0.91</v>
      </c>
      <c r="G307" s="1214"/>
      <c r="H307" s="1269">
        <f>+[15]restated!R48/10^7</f>
        <v>0.91</v>
      </c>
      <c r="I307" s="1246"/>
    </row>
    <row r="308" spans="1:11" ht="15" x14ac:dyDescent="0.25">
      <c r="A308" s="1209">
        <v>79510</v>
      </c>
      <c r="B308" s="1216"/>
      <c r="C308" s="1226" t="s">
        <v>2167</v>
      </c>
      <c r="D308" s="1214">
        <f>'[15]Input Sheet'!G1337</f>
        <v>0</v>
      </c>
      <c r="E308" s="1214"/>
      <c r="F308" s="1213">
        <v>0</v>
      </c>
      <c r="G308" s="1214"/>
      <c r="H308" s="1238"/>
      <c r="I308" s="1246"/>
    </row>
    <row r="309" spans="1:11" ht="15" x14ac:dyDescent="0.25">
      <c r="A309" s="1209">
        <v>79530</v>
      </c>
      <c r="B309" s="1216"/>
      <c r="C309" s="1226" t="s">
        <v>2168</v>
      </c>
      <c r="D309" s="1214">
        <f>'[15]Input Sheet'!G1338</f>
        <v>0</v>
      </c>
      <c r="E309" s="1214"/>
      <c r="F309" s="1213">
        <v>0</v>
      </c>
      <c r="G309" s="1214"/>
      <c r="H309" s="1238"/>
      <c r="I309" s="1246"/>
    </row>
    <row r="310" spans="1:11" ht="15" x14ac:dyDescent="0.25">
      <c r="A310" s="1270">
        <v>79531</v>
      </c>
      <c r="B310" s="1271"/>
      <c r="C310" s="1272" t="s">
        <v>2169</v>
      </c>
      <c r="D310" s="1273">
        <f>'[15]Input Sheet'!G1339</f>
        <v>0.7006059</v>
      </c>
      <c r="E310" s="1214"/>
      <c r="F310" s="1213">
        <v>0.39</v>
      </c>
      <c r="G310" s="1214"/>
      <c r="H310" s="1238"/>
      <c r="I310" s="1246"/>
    </row>
    <row r="311" spans="1:11" ht="15" x14ac:dyDescent="0.25">
      <c r="A311" s="1209">
        <v>79580</v>
      </c>
      <c r="B311" s="1216"/>
      <c r="C311" s="1226" t="s">
        <v>2170</v>
      </c>
      <c r="D311" s="1214">
        <f>'[15]Input Sheet'!G1346</f>
        <v>0</v>
      </c>
      <c r="E311" s="1214"/>
      <c r="F311" s="1213">
        <v>0</v>
      </c>
      <c r="G311" s="1214"/>
      <c r="H311" s="1238"/>
      <c r="I311" s="1246"/>
    </row>
    <row r="312" spans="1:11" ht="15" x14ac:dyDescent="0.25">
      <c r="A312" s="1209">
        <v>79721</v>
      </c>
      <c r="B312" s="1216"/>
      <c r="C312" s="1226" t="s">
        <v>2171</v>
      </c>
      <c r="D312" s="1214">
        <f>'[15]Input Sheet'!G1347</f>
        <v>0</v>
      </c>
      <c r="E312" s="1214"/>
      <c r="F312" s="1213">
        <v>0</v>
      </c>
      <c r="G312" s="1214"/>
      <c r="H312" s="1238"/>
      <c r="I312" s="1246"/>
    </row>
    <row r="313" spans="1:11" ht="15" x14ac:dyDescent="0.25">
      <c r="A313" s="1209">
        <v>79725</v>
      </c>
      <c r="B313" s="1216"/>
      <c r="C313" s="1226" t="s">
        <v>2172</v>
      </c>
      <c r="D313" s="1214">
        <f>'[15]Input Sheet'!G1348</f>
        <v>3.2207580000000002E-3</v>
      </c>
      <c r="E313" s="1214"/>
      <c r="F313" s="1213">
        <v>-1.2712022999999999E-2</v>
      </c>
      <c r="G313" s="1214"/>
      <c r="H313" s="1238"/>
      <c r="I313" s="1246"/>
    </row>
    <row r="314" spans="1:11" ht="15" x14ac:dyDescent="0.25">
      <c r="A314" s="1215">
        <v>77730</v>
      </c>
      <c r="B314" s="1216"/>
      <c r="C314" s="1226" t="s">
        <v>2173</v>
      </c>
      <c r="D314" s="1214">
        <f>'[15]Input Sheet'!G1301</f>
        <v>0</v>
      </c>
      <c r="E314" s="1214"/>
      <c r="F314" s="1213">
        <v>0</v>
      </c>
      <c r="G314" s="1214"/>
      <c r="H314" s="1238"/>
      <c r="I314" s="1246"/>
    </row>
    <row r="315" spans="1:11" ht="15" x14ac:dyDescent="0.25">
      <c r="A315" s="1215">
        <v>78520</v>
      </c>
      <c r="B315" s="1216"/>
      <c r="C315" s="1236" t="s">
        <v>2174</v>
      </c>
      <c r="D315" s="1214">
        <f>+'[15]Input Sheet'!G1309</f>
        <v>0</v>
      </c>
      <c r="E315" s="1214"/>
      <c r="F315" s="1213">
        <v>0</v>
      </c>
      <c r="G315" s="1214"/>
      <c r="H315" s="1238"/>
      <c r="I315" s="1246"/>
    </row>
    <row r="316" spans="1:11" ht="15" x14ac:dyDescent="0.25">
      <c r="A316" s="1215">
        <v>79727</v>
      </c>
      <c r="B316" s="1216"/>
      <c r="C316" s="243" t="s">
        <v>2175</v>
      </c>
      <c r="D316" s="1213"/>
      <c r="E316" s="1214">
        <f>+'[15]Input Sheet'!G1350</f>
        <v>0</v>
      </c>
      <c r="F316" s="1213"/>
      <c r="G316" s="1214">
        <v>0</v>
      </c>
      <c r="H316" s="1238"/>
      <c r="I316" s="1246"/>
    </row>
    <row r="317" spans="1:11" ht="15" x14ac:dyDescent="0.25">
      <c r="A317" s="1209">
        <v>79572</v>
      </c>
      <c r="B317" s="1216"/>
      <c r="C317" s="1236" t="s">
        <v>2176</v>
      </c>
      <c r="D317" s="1214"/>
      <c r="E317" s="1214">
        <f>'[15]Input Sheet'!G1345</f>
        <v>0</v>
      </c>
      <c r="F317" s="1213"/>
      <c r="G317" s="1214">
        <v>0.29646620099999998</v>
      </c>
      <c r="H317" s="1238"/>
    </row>
    <row r="318" spans="1:11" ht="15" x14ac:dyDescent="0.25">
      <c r="A318" s="1215">
        <v>79570</v>
      </c>
      <c r="B318" s="1216"/>
      <c r="C318" s="1236" t="s">
        <v>2177</v>
      </c>
      <c r="D318" s="1214"/>
      <c r="E318" s="1277">
        <f>'[15]Input Sheet'!G1342</f>
        <v>1.899663E-3</v>
      </c>
      <c r="F318" s="1213"/>
      <c r="G318" s="1214">
        <v>5.5115138110000004</v>
      </c>
      <c r="H318" s="1238"/>
      <c r="K318" s="1238"/>
    </row>
    <row r="319" spans="1:11" ht="15" x14ac:dyDescent="0.25">
      <c r="A319" s="1215">
        <f>'[15]Input Sheet'!D1343</f>
        <v>79571</v>
      </c>
      <c r="B319" s="1216"/>
      <c r="C319" s="1236" t="str">
        <f>'[15]Input Sheet'!E1343</f>
        <v>Deviation Settlement Mechanism (DSM) Charges</v>
      </c>
      <c r="D319" s="1214"/>
      <c r="E319" s="1214">
        <f>IF('[15]Input Sheet'!G1343&gt;0,'[15]Input Sheet'!G1343,0)</f>
        <v>68.784941700000005</v>
      </c>
      <c r="F319" s="1213"/>
      <c r="G319" s="1214">
        <v>179.08925009999999</v>
      </c>
      <c r="H319" s="1238"/>
    </row>
    <row r="320" spans="1:11" ht="15" x14ac:dyDescent="0.25">
      <c r="A320" s="1215"/>
      <c r="B320" s="1216"/>
      <c r="C320" s="1211"/>
      <c r="D320" s="1214"/>
      <c r="E320" s="1214"/>
      <c r="F320" s="1213"/>
      <c r="G320" s="1214"/>
      <c r="H320" s="1238"/>
    </row>
    <row r="321" spans="1:13" ht="15" x14ac:dyDescent="0.25">
      <c r="A321" s="1215"/>
      <c r="B321" s="1216"/>
      <c r="C321" s="1211" t="s">
        <v>2178</v>
      </c>
      <c r="D321" s="1214"/>
      <c r="E321" s="1214"/>
      <c r="F321" s="1213"/>
      <c r="G321" s="1214"/>
      <c r="H321" s="1238"/>
    </row>
    <row r="322" spans="1:13" ht="15" x14ac:dyDescent="0.25">
      <c r="A322" s="1209">
        <v>76122</v>
      </c>
      <c r="B322" s="1216"/>
      <c r="C322" s="1211" t="s">
        <v>2179</v>
      </c>
      <c r="D322" s="1214"/>
      <c r="E322" s="1243">
        <f>'[15]Input Sheet'!G1248-E323-E324-E325</f>
        <v>0.88725559999999992</v>
      </c>
      <c r="F322" s="1213"/>
      <c r="G322" s="1214">
        <v>0.64500000000000002</v>
      </c>
      <c r="H322" s="1238"/>
      <c r="J322" s="1278"/>
    </row>
    <row r="323" spans="1:13" ht="15" x14ac:dyDescent="0.25">
      <c r="A323" s="1215"/>
      <c r="B323" s="1216"/>
      <c r="C323" s="1211" t="s">
        <v>2180</v>
      </c>
      <c r="D323" s="1214"/>
      <c r="E323" s="1279"/>
      <c r="F323" s="1213"/>
      <c r="G323" s="1214"/>
      <c r="H323" s="1238"/>
    </row>
    <row r="324" spans="1:13" ht="15" x14ac:dyDescent="0.25">
      <c r="A324" s="1215"/>
      <c r="B324" s="1216"/>
      <c r="C324" s="1211" t="s">
        <v>2181</v>
      </c>
      <c r="D324" s="1214"/>
      <c r="E324" s="1279">
        <f>158894/10^7</f>
        <v>1.5889400000000001E-2</v>
      </c>
      <c r="F324" s="1213"/>
      <c r="G324" s="1214">
        <v>1.5889400000000001E-2</v>
      </c>
      <c r="H324" s="1238"/>
    </row>
    <row r="325" spans="1:13" ht="15" x14ac:dyDescent="0.25">
      <c r="A325" s="1215"/>
      <c r="B325" s="1216"/>
      <c r="C325" s="1211" t="s">
        <v>2182</v>
      </c>
      <c r="D325" s="1214"/>
      <c r="E325" s="1279">
        <f>1175550/10^7</f>
        <v>0.11755500000000001</v>
      </c>
      <c r="F325" s="1213"/>
      <c r="G325" s="1214">
        <v>0.11755500000000001</v>
      </c>
      <c r="H325" s="1238"/>
    </row>
    <row r="326" spans="1:13" ht="15" x14ac:dyDescent="0.25">
      <c r="A326" s="1215"/>
      <c r="B326" s="1216"/>
      <c r="C326" s="882" t="s">
        <v>7</v>
      </c>
      <c r="D326" s="882"/>
      <c r="E326" s="882">
        <f>SUM(E224:E325)</f>
        <v>2297.6785224840005</v>
      </c>
      <c r="F326" s="882"/>
      <c r="G326" s="882">
        <f>SUM(G224:G325)</f>
        <v>4560.1490683250013</v>
      </c>
      <c r="H326" s="1238"/>
    </row>
    <row r="327" spans="1:13" x14ac:dyDescent="0.2">
      <c r="A327" s="1215"/>
      <c r="B327" s="1278"/>
      <c r="C327" s="1226"/>
      <c r="D327" s="1214"/>
      <c r="E327" s="1214"/>
      <c r="F327" s="1213"/>
      <c r="G327" s="1214"/>
    </row>
    <row r="328" spans="1:13" ht="15" x14ac:dyDescent="0.25">
      <c r="A328" s="1215"/>
      <c r="B328" s="1278"/>
      <c r="C328" s="1280" t="s">
        <v>2183</v>
      </c>
      <c r="D328" s="1214"/>
      <c r="E328" s="1214">
        <f>SUM(D329:D345)</f>
        <v>2687.7448922469998</v>
      </c>
      <c r="F328" s="1213"/>
      <c r="G328" s="1214">
        <f>SUM(F329:F345)</f>
        <v>2847.2569642380004</v>
      </c>
      <c r="K328" s="1209">
        <v>77101</v>
      </c>
      <c r="M328" s="1043"/>
    </row>
    <row r="329" spans="1:13" x14ac:dyDescent="0.2">
      <c r="A329" s="1209">
        <v>77101</v>
      </c>
      <c r="B329" s="1278"/>
      <c r="C329" s="1226" t="s">
        <v>2184</v>
      </c>
      <c r="D329" s="1214">
        <f>'[15]Input Sheet'!G1288</f>
        <v>0</v>
      </c>
      <c r="E329" s="1214"/>
      <c r="F329" s="1213">
        <v>0</v>
      </c>
      <c r="G329" s="1214"/>
      <c r="K329" s="1209">
        <v>77102</v>
      </c>
    </row>
    <row r="330" spans="1:13" x14ac:dyDescent="0.2">
      <c r="A330" s="1209">
        <v>77102</v>
      </c>
      <c r="B330" s="1278"/>
      <c r="C330" s="1226" t="s">
        <v>2185</v>
      </c>
      <c r="D330" s="1214">
        <f>'[15]Input Sheet'!G1289</f>
        <v>4.6611259799999996</v>
      </c>
      <c r="E330" s="1214"/>
      <c r="F330" s="1213">
        <f>4.2543571+H330</f>
        <v>4.7401055000000003</v>
      </c>
      <c r="G330" s="1214"/>
      <c r="H330" s="1234">
        <f>[15]restated!R50/10^7</f>
        <v>0.48574840000000002</v>
      </c>
      <c r="I330" s="1265"/>
      <c r="K330" s="1209">
        <v>77201</v>
      </c>
    </row>
    <row r="331" spans="1:13" x14ac:dyDescent="0.2">
      <c r="A331" s="1209">
        <v>77201</v>
      </c>
      <c r="B331" s="1278"/>
      <c r="C331" s="1226" t="s">
        <v>2186</v>
      </c>
      <c r="D331" s="1214">
        <f>'[15]Input Sheet'!G1290</f>
        <v>38.506690289999995</v>
      </c>
      <c r="E331" s="1214"/>
      <c r="F331" s="1213">
        <v>36.6522316</v>
      </c>
      <c r="G331" s="1214"/>
      <c r="I331" s="1265"/>
      <c r="K331" s="1209">
        <v>77202</v>
      </c>
    </row>
    <row r="332" spans="1:13" x14ac:dyDescent="0.2">
      <c r="A332" s="1209">
        <v>77202</v>
      </c>
      <c r="B332" s="1278"/>
      <c r="C332" s="1226" t="s">
        <v>2187</v>
      </c>
      <c r="D332" s="1214">
        <f>'[15]Input Sheet'!G1291</f>
        <v>31.118999526</v>
      </c>
      <c r="E332" s="1214"/>
      <c r="F332" s="1213">
        <f>30.064805493+H332</f>
        <v>30.203533393000001</v>
      </c>
      <c r="G332" s="1214"/>
      <c r="H332" s="1234">
        <f>+[15]restated!R51/10^7</f>
        <v>0.13872789999999999</v>
      </c>
      <c r="I332" s="1265"/>
      <c r="K332" s="1209">
        <v>77301</v>
      </c>
    </row>
    <row r="333" spans="1:13" x14ac:dyDescent="0.2">
      <c r="A333" s="1209">
        <v>77301</v>
      </c>
      <c r="B333" s="1278"/>
      <c r="C333" s="1226" t="s">
        <v>2188</v>
      </c>
      <c r="D333" s="1214">
        <f>'[15]Input Sheet'!G1292</f>
        <v>134.39723559399999</v>
      </c>
      <c r="E333" s="1214"/>
      <c r="F333" s="1213">
        <f>140.864108479+H333</f>
        <v>141.27203687900001</v>
      </c>
      <c r="G333" s="1214"/>
      <c r="H333" s="1234">
        <f>+[15]restated!R52/10^7</f>
        <v>0.40792840000000002</v>
      </c>
      <c r="I333" s="1265"/>
      <c r="K333" s="1209">
        <v>77401</v>
      </c>
    </row>
    <row r="334" spans="1:13" x14ac:dyDescent="0.2">
      <c r="A334" s="1209">
        <v>77401</v>
      </c>
      <c r="B334" s="1278"/>
      <c r="C334" s="1226" t="s">
        <v>2189</v>
      </c>
      <c r="D334" s="1214">
        <f>'[15]Input Sheet'!G1293</f>
        <v>45.560515280000004</v>
      </c>
      <c r="E334" s="1214"/>
      <c r="F334" s="1213">
        <v>38.984386724000004</v>
      </c>
      <c r="G334" s="1214"/>
      <c r="I334" s="1265"/>
      <c r="K334" s="1209">
        <v>77402</v>
      </c>
    </row>
    <row r="335" spans="1:13" x14ac:dyDescent="0.2">
      <c r="A335" s="1209">
        <v>77402</v>
      </c>
      <c r="B335" s="1278"/>
      <c r="C335" s="1226" t="s">
        <v>2190</v>
      </c>
      <c r="D335" s="1214">
        <f>'[15]Input Sheet'!G1294</f>
        <v>46.606060747000001</v>
      </c>
      <c r="E335" s="1214"/>
      <c r="F335" s="1213">
        <f>45.486765514+H335</f>
        <v>45.505647513999996</v>
      </c>
      <c r="G335" s="1214"/>
      <c r="H335" s="1234">
        <f>+[15]restated!R53/10^7</f>
        <v>1.8881999999999999E-2</v>
      </c>
      <c r="I335" s="1265"/>
      <c r="K335" s="1209">
        <v>77501</v>
      </c>
    </row>
    <row r="336" spans="1:13" x14ac:dyDescent="0.2">
      <c r="A336" s="1209">
        <v>77501</v>
      </c>
      <c r="B336" s="1278"/>
      <c r="C336" s="1226" t="s">
        <v>2191</v>
      </c>
      <c r="D336" s="1214">
        <f>'[15]Input Sheet'!G1295</f>
        <v>2082.8795629310002</v>
      </c>
      <c r="E336" s="1214"/>
      <c r="F336" s="1261">
        <f>2246.095759857+H336-I336</f>
        <v>2249.4505110350001</v>
      </c>
      <c r="G336" s="1214"/>
      <c r="H336" s="1234">
        <f>+[15]restated!R54/10^7</f>
        <v>4.6447511779999999</v>
      </c>
      <c r="I336" s="1281">
        <v>1.29</v>
      </c>
      <c r="K336" s="1209">
        <v>77502</v>
      </c>
    </row>
    <row r="337" spans="1:18" x14ac:dyDescent="0.2">
      <c r="A337" s="1209">
        <v>77502</v>
      </c>
      <c r="B337" s="1278"/>
      <c r="C337" s="1226" t="s">
        <v>2192</v>
      </c>
      <c r="D337" s="1214">
        <f>'[15]Input Sheet'!G1296</f>
        <v>0</v>
      </c>
      <c r="E337" s="1214"/>
      <c r="F337" s="1213">
        <v>0</v>
      </c>
      <c r="G337" s="1214"/>
      <c r="I337" s="1265"/>
      <c r="K337" s="1209">
        <v>77601</v>
      </c>
    </row>
    <row r="338" spans="1:18" ht="15" x14ac:dyDescent="0.25">
      <c r="A338" s="1209">
        <v>77503</v>
      </c>
      <c r="B338" s="1278"/>
      <c r="C338" s="1282" t="s">
        <v>2193</v>
      </c>
      <c r="D338" s="1214">
        <f>'[15]Input Sheet'!G1297</f>
        <v>0</v>
      </c>
      <c r="E338" s="1214"/>
      <c r="F338" s="1213"/>
      <c r="G338" s="1214"/>
      <c r="I338" s="1265"/>
      <c r="K338" s="1209"/>
    </row>
    <row r="339" spans="1:18" x14ac:dyDescent="0.2">
      <c r="A339" s="1209">
        <v>77601</v>
      </c>
      <c r="B339" s="1278"/>
      <c r="C339" s="1226" t="s">
        <v>2194</v>
      </c>
      <c r="D339" s="1214">
        <f>'[15]Input Sheet'!G1298</f>
        <v>26.932201800000001</v>
      </c>
      <c r="E339" s="1214"/>
      <c r="F339" s="1213">
        <v>26.877271499999999</v>
      </c>
      <c r="G339" s="1214"/>
      <c r="I339" s="1265"/>
      <c r="K339" s="1209">
        <v>77701</v>
      </c>
    </row>
    <row r="340" spans="1:18" x14ac:dyDescent="0.2">
      <c r="A340" s="1209">
        <v>77701</v>
      </c>
      <c r="B340" s="1278"/>
      <c r="C340" s="1226" t="s">
        <v>2195</v>
      </c>
      <c r="D340" s="1214">
        <f>'[15]Input Sheet'!G1299</f>
        <v>5.2049987959999999</v>
      </c>
      <c r="E340" s="1214"/>
      <c r="F340" s="1213">
        <v>4.67155627</v>
      </c>
      <c r="G340" s="1214"/>
      <c r="I340" s="1265"/>
      <c r="K340" s="1209">
        <v>77801</v>
      </c>
    </row>
    <row r="341" spans="1:18" x14ac:dyDescent="0.2">
      <c r="A341" s="1209">
        <v>77801</v>
      </c>
      <c r="B341" s="1278"/>
      <c r="C341" s="1226" t="s">
        <v>2196</v>
      </c>
      <c r="D341" s="1214">
        <f>'[15]Input Sheet'!G1302</f>
        <v>2.4125697779999999</v>
      </c>
      <c r="E341" s="1214"/>
      <c r="F341" s="1213">
        <v>2.5508960119999999</v>
      </c>
      <c r="G341" s="1214"/>
      <c r="I341" s="1265"/>
      <c r="K341" s="1209">
        <v>77901</v>
      </c>
    </row>
    <row r="342" spans="1:18" x14ac:dyDescent="0.2">
      <c r="A342" s="1209">
        <v>77901</v>
      </c>
      <c r="B342" s="1278"/>
      <c r="C342" s="1226" t="s">
        <v>2197</v>
      </c>
      <c r="D342" s="1214">
        <f>'[15]Input Sheet'!G1303</f>
        <v>8.9107915609999999</v>
      </c>
      <c r="E342" s="1214"/>
      <c r="F342" s="1213">
        <f>7.034958023+H342</f>
        <v>7.0472594229999999</v>
      </c>
      <c r="G342" s="1214"/>
      <c r="H342" s="1234">
        <f>+[15]restated!R55/10^7</f>
        <v>1.2301400000000001E-2</v>
      </c>
      <c r="I342" s="1265"/>
      <c r="K342" s="1209">
        <v>77902</v>
      </c>
    </row>
    <row r="343" spans="1:18" x14ac:dyDescent="0.2">
      <c r="A343" s="1209">
        <v>77902</v>
      </c>
      <c r="B343" s="1278"/>
      <c r="C343" s="1226" t="s">
        <v>2198</v>
      </c>
      <c r="D343" s="1214">
        <f>'[15]Input Sheet'!G1304</f>
        <v>1.122938706</v>
      </c>
      <c r="E343" s="1214"/>
      <c r="F343" s="1213">
        <v>3.7538632000000001</v>
      </c>
      <c r="G343" s="1214"/>
      <c r="I343" s="1265"/>
      <c r="K343" s="1209">
        <v>77961</v>
      </c>
    </row>
    <row r="344" spans="1:18" x14ac:dyDescent="0.2">
      <c r="A344" s="1209">
        <v>77961</v>
      </c>
      <c r="B344" s="1278"/>
      <c r="C344" s="1226" t="s">
        <v>2199</v>
      </c>
      <c r="D344" s="1214">
        <f>'[15]Input Sheet'!G1305</f>
        <v>1.8783503579999998</v>
      </c>
      <c r="E344" s="1214"/>
      <c r="F344" s="1213">
        <v>1.7251508879999999</v>
      </c>
      <c r="G344" s="1214"/>
      <c r="I344" s="1265"/>
      <c r="K344" s="1209">
        <v>77962</v>
      </c>
    </row>
    <row r="345" spans="1:18" x14ac:dyDescent="0.2">
      <c r="A345" s="1209">
        <f>'[15]Input Sheet'!D1306</f>
        <v>77962</v>
      </c>
      <c r="B345" s="1278"/>
      <c r="C345" s="1283" t="str">
        <f>'[15]Input Sheet'!E1306</f>
        <v>Amort. for Right to Use Assets</v>
      </c>
      <c r="D345" s="1214">
        <f>'[15]Input Sheet'!G1306</f>
        <v>257.55285090000001</v>
      </c>
      <c r="E345" s="1214"/>
      <c r="F345" s="1213">
        <v>253.82251429999999</v>
      </c>
      <c r="G345" s="1214"/>
      <c r="H345" s="1265"/>
      <c r="I345" s="1265"/>
      <c r="K345">
        <v>83102</v>
      </c>
    </row>
    <row r="346" spans="1:18" x14ac:dyDescent="0.2">
      <c r="A346" s="1215"/>
      <c r="B346" s="1278"/>
      <c r="C346" s="1226"/>
      <c r="D346" s="1214"/>
      <c r="E346" s="1214"/>
      <c r="F346" s="1213"/>
      <c r="G346" s="1214"/>
      <c r="K346">
        <v>83201</v>
      </c>
    </row>
    <row r="347" spans="1:18" ht="15" x14ac:dyDescent="0.25">
      <c r="A347" s="1215"/>
      <c r="B347" s="1278"/>
      <c r="C347" s="1280" t="s">
        <v>2200</v>
      </c>
      <c r="D347" s="1214"/>
      <c r="E347" s="1214">
        <f>SUM(D348:D355)</f>
        <v>0</v>
      </c>
      <c r="F347" s="1213"/>
      <c r="G347" s="1214">
        <f>SUM(F348:F355)</f>
        <v>0</v>
      </c>
      <c r="K347">
        <v>83202</v>
      </c>
    </row>
    <row r="348" spans="1:18" x14ac:dyDescent="0.2">
      <c r="A348" s="1215">
        <v>65001</v>
      </c>
      <c r="B348" s="1278"/>
      <c r="C348" s="1226" t="s">
        <v>2201</v>
      </c>
      <c r="D348" s="1284">
        <f>'[15]Input Sheet'!G1125</f>
        <v>0</v>
      </c>
      <c r="E348" s="1214"/>
      <c r="F348" s="1213">
        <v>0</v>
      </c>
      <c r="G348" s="1214"/>
      <c r="K348">
        <v>83301</v>
      </c>
      <c r="P348" s="1285"/>
      <c r="R348" s="1286"/>
    </row>
    <row r="349" spans="1:18" x14ac:dyDescent="0.2">
      <c r="A349" s="1215">
        <v>65002</v>
      </c>
      <c r="B349" s="1278"/>
      <c r="C349" s="1226" t="s">
        <v>2202</v>
      </c>
      <c r="D349" s="1214">
        <f>'[15]Input Sheet'!G1126</f>
        <v>0</v>
      </c>
      <c r="E349" s="1214"/>
      <c r="F349" s="1213">
        <v>0</v>
      </c>
      <c r="G349" s="1214"/>
      <c r="K349">
        <v>83401</v>
      </c>
      <c r="P349" s="1285"/>
      <c r="R349" s="1286"/>
    </row>
    <row r="350" spans="1:18" x14ac:dyDescent="0.2">
      <c r="A350" s="1215">
        <v>65071</v>
      </c>
      <c r="B350" s="1278"/>
      <c r="C350" s="1226" t="s">
        <v>2203</v>
      </c>
      <c r="D350" s="1214">
        <f>'[15]Input Sheet'!G1127</f>
        <v>0</v>
      </c>
      <c r="E350" s="1214"/>
      <c r="F350" s="1213">
        <v>0</v>
      </c>
      <c r="G350" s="1214"/>
      <c r="K350">
        <v>83402</v>
      </c>
      <c r="P350" s="1285"/>
      <c r="R350" s="1286"/>
    </row>
    <row r="351" spans="1:18" x14ac:dyDescent="0.2">
      <c r="A351" s="1215">
        <v>65072</v>
      </c>
      <c r="B351" s="1278"/>
      <c r="C351" s="1226" t="s">
        <v>2204</v>
      </c>
      <c r="D351" s="1214">
        <f>'[15]Input Sheet'!G1128</f>
        <v>0</v>
      </c>
      <c r="E351" s="1214"/>
      <c r="F351" s="1213">
        <v>0</v>
      </c>
      <c r="G351" s="1214"/>
      <c r="K351">
        <v>83501</v>
      </c>
      <c r="P351" s="1285"/>
      <c r="R351" s="1286"/>
    </row>
    <row r="352" spans="1:18" x14ac:dyDescent="0.2">
      <c r="A352" s="1215">
        <v>65074</v>
      </c>
      <c r="B352" s="1278"/>
      <c r="C352" s="1226" t="s">
        <v>2205</v>
      </c>
      <c r="D352" s="1214">
        <f>'[15]Input Sheet'!G1129</f>
        <v>0</v>
      </c>
      <c r="E352" s="1214"/>
      <c r="F352" s="1213">
        <v>0</v>
      </c>
      <c r="G352" s="1214"/>
      <c r="K352">
        <v>83601</v>
      </c>
      <c r="P352" s="1285"/>
      <c r="R352" s="1286"/>
    </row>
    <row r="353" spans="1:18" x14ac:dyDescent="0.2">
      <c r="A353" s="1215">
        <v>65075</v>
      </c>
      <c r="B353" s="1278"/>
      <c r="C353" s="1226" t="s">
        <v>2206</v>
      </c>
      <c r="D353" s="1214">
        <f>'[15]Input Sheet'!G1130</f>
        <v>0</v>
      </c>
      <c r="E353" s="1214"/>
      <c r="F353" s="1213">
        <v>0</v>
      </c>
      <c r="G353" s="1214"/>
      <c r="K353">
        <v>83701</v>
      </c>
      <c r="P353" s="1285"/>
      <c r="R353" s="1286"/>
    </row>
    <row r="354" spans="1:18" x14ac:dyDescent="0.2">
      <c r="A354" s="1215">
        <v>65076</v>
      </c>
      <c r="B354" s="1278"/>
      <c r="C354" s="1226" t="s">
        <v>2207</v>
      </c>
      <c r="D354" s="1214">
        <f>'[15]Input Sheet'!G1131</f>
        <v>0</v>
      </c>
      <c r="E354" s="1214"/>
      <c r="F354" s="1213">
        <v>0</v>
      </c>
      <c r="G354" s="1214"/>
      <c r="K354">
        <v>83801</v>
      </c>
      <c r="P354" s="1285"/>
      <c r="R354" s="1286"/>
    </row>
    <row r="355" spans="1:18" x14ac:dyDescent="0.2">
      <c r="A355" s="1215">
        <v>65078</v>
      </c>
      <c r="B355" s="1278"/>
      <c r="C355" s="1226" t="s">
        <v>2208</v>
      </c>
      <c r="D355" s="1214">
        <f>'[15]Input Sheet'!G1132</f>
        <v>0</v>
      </c>
      <c r="E355" s="1214"/>
      <c r="F355" s="1213">
        <v>0</v>
      </c>
      <c r="G355" s="1214"/>
      <c r="K355">
        <v>83901</v>
      </c>
      <c r="P355" s="1285"/>
      <c r="R355" s="1286"/>
    </row>
    <row r="356" spans="1:18" x14ac:dyDescent="0.2">
      <c r="A356" s="1215"/>
      <c r="B356" s="1278"/>
      <c r="C356" s="1226"/>
      <c r="D356" s="1214"/>
      <c r="E356" s="1214"/>
      <c r="F356" s="1213"/>
      <c r="G356" s="1214"/>
      <c r="K356">
        <v>83902</v>
      </c>
      <c r="P356" s="1285"/>
      <c r="R356" s="1286"/>
    </row>
    <row r="357" spans="1:18" ht="15" x14ac:dyDescent="0.25">
      <c r="A357" s="1215"/>
      <c r="B357" s="1278"/>
      <c r="C357" s="1280" t="s">
        <v>2209</v>
      </c>
      <c r="D357" s="1214"/>
      <c r="E357" s="1214">
        <f>SUM(D358:D378)</f>
        <v>0</v>
      </c>
      <c r="F357" s="1213"/>
      <c r="G357" s="1214">
        <f>SUM(F358:F378)</f>
        <v>0</v>
      </c>
      <c r="H357" s="1238"/>
      <c r="K357">
        <v>83961</v>
      </c>
      <c r="P357" s="1285"/>
      <c r="R357" s="1286"/>
    </row>
    <row r="358" spans="1:18" x14ac:dyDescent="0.2">
      <c r="A358" s="1215">
        <v>83001</v>
      </c>
      <c r="B358" s="1278"/>
      <c r="C358" s="1226" t="s">
        <v>2210</v>
      </c>
      <c r="D358" s="1214">
        <f>'[15]Input Sheet'!G1354</f>
        <v>0</v>
      </c>
      <c r="E358" s="1214"/>
      <c r="F358" s="1213">
        <v>0</v>
      </c>
      <c r="G358" s="1214"/>
      <c r="H358" s="1043"/>
      <c r="P358" s="1285"/>
      <c r="R358" s="1286"/>
    </row>
    <row r="359" spans="1:18" x14ac:dyDescent="0.2">
      <c r="A359" s="1215">
        <v>83002</v>
      </c>
      <c r="B359" s="1278"/>
      <c r="C359" s="1226" t="s">
        <v>2211</v>
      </c>
      <c r="D359" s="1214">
        <f>'[15]Input Sheet'!G1355</f>
        <v>0</v>
      </c>
      <c r="E359" s="1214"/>
      <c r="F359" s="1213">
        <v>0</v>
      </c>
      <c r="G359" s="1214"/>
      <c r="H359" s="1238"/>
      <c r="P359" s="1285"/>
      <c r="R359" s="1286"/>
    </row>
    <row r="360" spans="1:18" x14ac:dyDescent="0.2">
      <c r="A360" s="1215">
        <v>83071</v>
      </c>
      <c r="B360" s="1278"/>
      <c r="C360" s="1226" t="s">
        <v>2212</v>
      </c>
      <c r="D360" s="1214">
        <f>'[15]Input Sheet'!G1356</f>
        <v>0</v>
      </c>
      <c r="E360" s="1214"/>
      <c r="F360" s="1213">
        <v>0</v>
      </c>
      <c r="G360" s="1214"/>
      <c r="H360" s="1238"/>
      <c r="P360" s="1285"/>
      <c r="R360" s="1286"/>
    </row>
    <row r="361" spans="1:18" x14ac:dyDescent="0.2">
      <c r="A361" s="1215">
        <v>83072</v>
      </c>
      <c r="B361" s="1278"/>
      <c r="C361" s="1226" t="s">
        <v>2213</v>
      </c>
      <c r="D361" s="1214">
        <f>'[15]Input Sheet'!G1357</f>
        <v>0</v>
      </c>
      <c r="E361" s="1214"/>
      <c r="F361" s="1213">
        <v>0</v>
      </c>
      <c r="G361" s="1214"/>
      <c r="P361" s="1285"/>
      <c r="R361" s="1286"/>
    </row>
    <row r="362" spans="1:18" x14ac:dyDescent="0.2">
      <c r="A362" s="1215">
        <v>83074</v>
      </c>
      <c r="B362" s="1278"/>
      <c r="C362" s="1226" t="s">
        <v>2214</v>
      </c>
      <c r="D362" s="1214">
        <f>'[15]Input Sheet'!G1358</f>
        <v>0</v>
      </c>
      <c r="E362" s="1214"/>
      <c r="F362" s="1213">
        <v>0</v>
      </c>
      <c r="G362" s="1214"/>
      <c r="P362" s="1285"/>
      <c r="R362" s="1286"/>
    </row>
    <row r="363" spans="1:18" x14ac:dyDescent="0.2">
      <c r="A363" s="1215">
        <v>83075</v>
      </c>
      <c r="B363" s="1278"/>
      <c r="C363" s="1226" t="s">
        <v>2215</v>
      </c>
      <c r="D363" s="1214">
        <f>'[15]Input Sheet'!G1359</f>
        <v>0</v>
      </c>
      <c r="E363" s="1214"/>
      <c r="F363" s="1213">
        <v>0</v>
      </c>
      <c r="G363" s="1214"/>
      <c r="P363" s="1285"/>
      <c r="R363" s="1286"/>
    </row>
    <row r="364" spans="1:18" x14ac:dyDescent="0.2">
      <c r="A364" s="1215">
        <v>83076</v>
      </c>
      <c r="B364" s="1278"/>
      <c r="C364" s="1226" t="s">
        <v>2216</v>
      </c>
      <c r="D364" s="1214">
        <f>'[15]Input Sheet'!G1360</f>
        <v>0</v>
      </c>
      <c r="E364" s="1214"/>
      <c r="F364" s="1213">
        <v>0</v>
      </c>
      <c r="G364" s="1214"/>
      <c r="P364" s="1285"/>
      <c r="R364" s="1286"/>
    </row>
    <row r="365" spans="1:18" x14ac:dyDescent="0.2">
      <c r="A365" s="1215">
        <v>83078</v>
      </c>
      <c r="B365" s="1278"/>
      <c r="C365" s="1226" t="s">
        <v>2217</v>
      </c>
      <c r="D365" s="1214">
        <f>'[15]Input Sheet'!G1361</f>
        <v>0</v>
      </c>
      <c r="E365" s="1214"/>
      <c r="F365" s="1213">
        <v>0</v>
      </c>
      <c r="G365" s="1214"/>
      <c r="P365" s="1285"/>
      <c r="R365" s="1286"/>
    </row>
    <row r="366" spans="1:18" x14ac:dyDescent="0.2">
      <c r="A366" s="1215">
        <v>83102</v>
      </c>
      <c r="B366" s="1278"/>
      <c r="C366" s="1226" t="s">
        <v>2218</v>
      </c>
      <c r="D366" s="1284">
        <f>'[15]Input Sheet'!G1362</f>
        <v>0</v>
      </c>
      <c r="E366" s="1214"/>
      <c r="F366" s="1213">
        <v>0</v>
      </c>
      <c r="G366" s="1214"/>
      <c r="P366" s="1285"/>
      <c r="R366" s="1286"/>
    </row>
    <row r="367" spans="1:18" x14ac:dyDescent="0.2">
      <c r="A367" s="1215">
        <v>83201</v>
      </c>
      <c r="B367" s="1278"/>
      <c r="C367" s="1226" t="s">
        <v>2219</v>
      </c>
      <c r="D367" s="1284">
        <f>'[15]Input Sheet'!G1363</f>
        <v>0</v>
      </c>
      <c r="E367" s="1214"/>
      <c r="F367" s="1213">
        <v>0</v>
      </c>
      <c r="G367" s="1214"/>
      <c r="M367" s="1043"/>
      <c r="P367" s="1285"/>
      <c r="R367" s="1286"/>
    </row>
    <row r="368" spans="1:18" x14ac:dyDescent="0.2">
      <c r="A368" s="1215">
        <v>83202</v>
      </c>
      <c r="B368" s="1278"/>
      <c r="C368" s="1226" t="s">
        <v>2220</v>
      </c>
      <c r="D368" s="1284">
        <f>'[15]Input Sheet'!G1364</f>
        <v>0</v>
      </c>
      <c r="E368" s="1214"/>
      <c r="F368" s="1213">
        <v>0</v>
      </c>
      <c r="G368" s="1214"/>
      <c r="M368" s="1043"/>
      <c r="P368" s="1285"/>
      <c r="R368" s="1286"/>
    </row>
    <row r="369" spans="1:18" x14ac:dyDescent="0.2">
      <c r="A369" s="1215">
        <v>83301</v>
      </c>
      <c r="B369" s="1278"/>
      <c r="C369" s="1226" t="s">
        <v>2221</v>
      </c>
      <c r="D369" s="1284">
        <f>'[15]Input Sheet'!G1365</f>
        <v>0</v>
      </c>
      <c r="E369" s="1214"/>
      <c r="F369" s="1213">
        <v>0</v>
      </c>
      <c r="G369" s="1214"/>
      <c r="M369" s="1043"/>
      <c r="P369" s="1285"/>
      <c r="R369" s="1286"/>
    </row>
    <row r="370" spans="1:18" x14ac:dyDescent="0.2">
      <c r="A370" s="1215">
        <v>83401</v>
      </c>
      <c r="B370" s="1278"/>
      <c r="C370" s="1226" t="s">
        <v>2222</v>
      </c>
      <c r="D370" s="1284">
        <f>'[15]Input Sheet'!G1366</f>
        <v>0</v>
      </c>
      <c r="E370" s="1214"/>
      <c r="F370" s="1213">
        <v>0</v>
      </c>
      <c r="G370" s="1214"/>
      <c r="M370" s="1043"/>
      <c r="P370" s="1285"/>
      <c r="R370" s="1286"/>
    </row>
    <row r="371" spans="1:18" x14ac:dyDescent="0.2">
      <c r="A371" s="1215">
        <v>83402</v>
      </c>
      <c r="B371" s="1278"/>
      <c r="C371" s="1226" t="s">
        <v>2223</v>
      </c>
      <c r="D371" s="1284">
        <f>'[15]Input Sheet'!G1367</f>
        <v>0</v>
      </c>
      <c r="E371" s="1214"/>
      <c r="F371" s="1213">
        <v>0</v>
      </c>
      <c r="G371" s="1214"/>
      <c r="P371" s="1285"/>
      <c r="R371" s="1286"/>
    </row>
    <row r="372" spans="1:18" x14ac:dyDescent="0.2">
      <c r="A372" s="1215">
        <v>83501</v>
      </c>
      <c r="B372" s="1278"/>
      <c r="C372" s="1226" t="s">
        <v>2224</v>
      </c>
      <c r="D372" s="1284">
        <f>'[15]Input Sheet'!G1368</f>
        <v>0</v>
      </c>
      <c r="E372" s="1214"/>
      <c r="F372" s="1213">
        <v>0</v>
      </c>
      <c r="G372" s="1214"/>
      <c r="P372" s="1285"/>
      <c r="R372" s="1286"/>
    </row>
    <row r="373" spans="1:18" x14ac:dyDescent="0.2">
      <c r="A373" s="1215">
        <v>83601</v>
      </c>
      <c r="B373" s="1278"/>
      <c r="C373" s="1226" t="s">
        <v>2225</v>
      </c>
      <c r="D373" s="1284">
        <f>'[15]Input Sheet'!G1369</f>
        <v>0</v>
      </c>
      <c r="E373" s="1214"/>
      <c r="F373" s="1213">
        <v>0</v>
      </c>
      <c r="G373" s="1214"/>
      <c r="M373" s="1043"/>
      <c r="P373" s="1285"/>
      <c r="R373" s="1286"/>
    </row>
    <row r="374" spans="1:18" x14ac:dyDescent="0.2">
      <c r="A374" s="1215">
        <v>83701</v>
      </c>
      <c r="B374" s="1278"/>
      <c r="C374" s="1226" t="s">
        <v>2226</v>
      </c>
      <c r="D374" s="1284">
        <f>'[15]Input Sheet'!G1370</f>
        <v>0</v>
      </c>
      <c r="E374" s="1214"/>
      <c r="F374" s="1213">
        <v>0</v>
      </c>
      <c r="G374" s="1214"/>
      <c r="M374" s="1248"/>
      <c r="P374" s="1285"/>
      <c r="R374" s="1286"/>
    </row>
    <row r="375" spans="1:18" x14ac:dyDescent="0.2">
      <c r="A375" s="1215">
        <v>83801</v>
      </c>
      <c r="B375" s="1278"/>
      <c r="C375" s="1226" t="s">
        <v>2227</v>
      </c>
      <c r="D375" s="1284">
        <f>'[15]Input Sheet'!G1371</f>
        <v>0</v>
      </c>
      <c r="E375" s="1214"/>
      <c r="F375" s="1213">
        <v>0</v>
      </c>
      <c r="G375" s="1214"/>
      <c r="M375" s="1248"/>
      <c r="P375" s="1285"/>
      <c r="R375" s="1286"/>
    </row>
    <row r="376" spans="1:18" x14ac:dyDescent="0.2">
      <c r="A376" s="1215">
        <v>83901</v>
      </c>
      <c r="B376" s="1278"/>
      <c r="C376" s="1226" t="s">
        <v>2228</v>
      </c>
      <c r="D376" s="1284">
        <f>'[15]Input Sheet'!G1372</f>
        <v>0</v>
      </c>
      <c r="E376" s="1214"/>
      <c r="F376" s="1213">
        <v>0</v>
      </c>
      <c r="G376" s="1214"/>
      <c r="L376" s="1043"/>
      <c r="M376" s="1043"/>
      <c r="P376" s="1285"/>
      <c r="R376" s="1286"/>
    </row>
    <row r="377" spans="1:18" x14ac:dyDescent="0.2">
      <c r="A377" s="1215">
        <v>83902</v>
      </c>
      <c r="B377" s="1278"/>
      <c r="C377" s="1226" t="s">
        <v>2229</v>
      </c>
      <c r="D377" s="1284">
        <f>'[15]Input Sheet'!G1373</f>
        <v>0</v>
      </c>
      <c r="E377" s="1214"/>
      <c r="F377" s="1213">
        <v>0</v>
      </c>
      <c r="G377" s="1214"/>
      <c r="L377" s="1043"/>
      <c r="M377" s="1043"/>
      <c r="P377" s="1285"/>
      <c r="R377" s="1286"/>
    </row>
    <row r="378" spans="1:18" x14ac:dyDescent="0.2">
      <c r="A378" s="1215">
        <v>83961</v>
      </c>
      <c r="B378" s="1278"/>
      <c r="C378" s="1226" t="s">
        <v>2230</v>
      </c>
      <c r="D378" s="1284">
        <f>'[15]Input Sheet'!G1374</f>
        <v>0</v>
      </c>
      <c r="E378" s="1214"/>
      <c r="F378" s="1213">
        <v>0</v>
      </c>
      <c r="G378" s="1214"/>
      <c r="L378" s="1043"/>
      <c r="M378" s="1043"/>
      <c r="P378" s="1285"/>
      <c r="R378" s="1286"/>
    </row>
    <row r="379" spans="1:18" x14ac:dyDescent="0.2">
      <c r="A379" s="1215"/>
      <c r="C379" s="850"/>
      <c r="D379" s="1287"/>
      <c r="E379" s="1287"/>
      <c r="F379" s="850"/>
      <c r="G379" s="1287"/>
      <c r="L379" s="1043"/>
      <c r="M379" s="1043"/>
    </row>
    <row r="380" spans="1:18" x14ac:dyDescent="0.2">
      <c r="A380" s="1215"/>
      <c r="B380" s="1026" t="s">
        <v>764</v>
      </c>
      <c r="C380" s="1288" t="s">
        <v>2231</v>
      </c>
      <c r="D380" s="1214"/>
      <c r="E380" s="1214"/>
      <c r="F380" s="1213"/>
      <c r="G380" s="1214"/>
      <c r="M380" s="1043"/>
    </row>
    <row r="381" spans="1:18" x14ac:dyDescent="0.2">
      <c r="A381" s="1215">
        <v>78500</v>
      </c>
      <c r="C381" s="1289" t="s">
        <v>2232</v>
      </c>
      <c r="D381" s="1214">
        <f>+'[15]Input Sheet'!G1308</f>
        <v>0</v>
      </c>
      <c r="E381" s="1214">
        <f>+D381</f>
        <v>0</v>
      </c>
      <c r="F381" s="1213">
        <v>0</v>
      </c>
      <c r="G381" s="1214">
        <f>F381</f>
        <v>0</v>
      </c>
      <c r="L381" s="1043"/>
    </row>
    <row r="382" spans="1:18" x14ac:dyDescent="0.2">
      <c r="A382" s="1290">
        <v>78521</v>
      </c>
      <c r="B382" s="1291"/>
      <c r="C382" s="1292" t="s">
        <v>2233</v>
      </c>
      <c r="D382" s="1293">
        <f>+'[15]Input Sheet'!G1310</f>
        <v>139.29269189999999</v>
      </c>
      <c r="E382" s="1293">
        <f>+D382</f>
        <v>139.29269189999999</v>
      </c>
      <c r="F382" s="1294">
        <v>-222.37967269999999</v>
      </c>
      <c r="G382" s="1214">
        <f>F382</f>
        <v>-222.37967269999999</v>
      </c>
      <c r="L382" s="1043"/>
    </row>
    <row r="383" spans="1:18" x14ac:dyDescent="0.2">
      <c r="L383" s="1043"/>
    </row>
    <row r="384" spans="1:18" x14ac:dyDescent="0.2">
      <c r="L384" s="1043"/>
    </row>
    <row r="385" spans="4:12" x14ac:dyDescent="0.2">
      <c r="D385" s="1198">
        <f>'[15]Asset history'!H54/10^7</f>
        <v>0</v>
      </c>
      <c r="L385" s="1043"/>
    </row>
    <row r="396" spans="4:12" x14ac:dyDescent="0.2">
      <c r="J396">
        <v>1610.1967023130003</v>
      </c>
    </row>
    <row r="397" spans="4:12" x14ac:dyDescent="0.2">
      <c r="J397">
        <v>-1610.3506914399914</v>
      </c>
    </row>
    <row r="398" spans="4:12" x14ac:dyDescent="0.2">
      <c r="J398">
        <f>+J396+J397</f>
        <v>-0.15398912699106404</v>
      </c>
    </row>
  </sheetData>
  <mergeCells count="6">
    <mergeCell ref="G238:G240"/>
    <mergeCell ref="A2:E2"/>
    <mergeCell ref="D4:E4"/>
    <mergeCell ref="F4:G4"/>
    <mergeCell ref="G205:G209"/>
    <mergeCell ref="G215:G218"/>
  </mergeCells>
  <conditionalFormatting sqref="A29:A30">
    <cfRule type="duplicateValues" dxfId="18" priority="17"/>
  </conditionalFormatting>
  <conditionalFormatting sqref="A345">
    <cfRule type="duplicateValues" dxfId="17" priority="13"/>
    <cfRule type="duplicateValues" dxfId="16" priority="14"/>
  </conditionalFormatting>
  <conditionalFormatting sqref="A346:A1048576 A157:A211 A213:A344 A2:A155">
    <cfRule type="duplicateValues" dxfId="15" priority="15"/>
    <cfRule type="duplicateValues" dxfId="14" priority="19"/>
  </conditionalFormatting>
  <conditionalFormatting sqref="A380:A382">
    <cfRule type="duplicateValues" dxfId="13" priority="18"/>
  </conditionalFormatting>
  <conditionalFormatting sqref="C60">
    <cfRule type="duplicateValues" dxfId="12" priority="16"/>
  </conditionalFormatting>
  <conditionalFormatting sqref="K328:K343">
    <cfRule type="duplicateValues" dxfId="11" priority="11"/>
    <cfRule type="duplicateValues" dxfId="10" priority="12"/>
  </conditionalFormatting>
  <conditionalFormatting sqref="K344">
    <cfRule type="duplicateValues" dxfId="9" priority="9"/>
    <cfRule type="duplicateValues" dxfId="8" priority="10"/>
  </conditionalFormatting>
  <conditionalFormatting sqref="P348:P367 P369 P372:P378">
    <cfRule type="duplicateValues" dxfId="7" priority="7"/>
    <cfRule type="duplicateValues" dxfId="6" priority="8"/>
  </conditionalFormatting>
  <conditionalFormatting sqref="P368">
    <cfRule type="duplicateValues" dxfId="5" priority="5"/>
    <cfRule type="duplicateValues" dxfId="4" priority="6"/>
  </conditionalFormatting>
  <conditionalFormatting sqref="P370">
    <cfRule type="duplicateValues" dxfId="3" priority="3"/>
    <cfRule type="duplicateValues" dxfId="2" priority="4"/>
  </conditionalFormatting>
  <conditionalFormatting sqref="P371">
    <cfRule type="duplicateValues" dxfId="1" priority="1"/>
    <cfRule type="duplicateValues" dxfId="0" priority="2"/>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V72"/>
  <sheetViews>
    <sheetView workbookViewId="0">
      <selection sqref="A1:XFD1048576"/>
    </sheetView>
  </sheetViews>
  <sheetFormatPr defaultColWidth="9.140625" defaultRowHeight="12.75" x14ac:dyDescent="0.2"/>
  <cols>
    <col min="1" max="1" width="42.42578125" style="808" customWidth="1"/>
    <col min="2" max="4" width="20.5703125" style="808" customWidth="1"/>
    <col min="5" max="5" width="25.28515625" style="808" hidden="1" customWidth="1"/>
    <col min="6" max="6" width="19" style="808" customWidth="1"/>
    <col min="7" max="7" width="16.28515625" style="808" customWidth="1"/>
    <col min="8" max="8" width="11" style="808" bestFit="1" customWidth="1"/>
    <col min="9" max="9" width="11.85546875" style="808" bestFit="1" customWidth="1"/>
    <col min="10" max="10" width="10.140625" style="808" bestFit="1" customWidth="1"/>
    <col min="11" max="11" width="11.5703125" style="808" bestFit="1" customWidth="1"/>
    <col min="12" max="16384" width="9.140625" style="808"/>
  </cols>
  <sheetData>
    <row r="1" spans="1:48" ht="21" customHeight="1" x14ac:dyDescent="0.2">
      <c r="A1" s="393" t="str">
        <f>'[15]balance sheet P&amp;L'!B1</f>
        <v>MAHARASHTRA STATE POWER GENERATION COMPANY LIMITED [CIN -U40100MH2005SGC153648]</v>
      </c>
      <c r="B1" s="820"/>
      <c r="C1" s="820"/>
      <c r="D1" s="820"/>
      <c r="E1" s="820"/>
      <c r="F1" s="1295"/>
    </row>
    <row r="2" spans="1:48" x14ac:dyDescent="0.2">
      <c r="A2" s="315" t="s">
        <v>2234</v>
      </c>
      <c r="F2" s="1296"/>
    </row>
    <row r="3" spans="1:48" ht="24" customHeight="1" x14ac:dyDescent="0.2">
      <c r="A3" s="315" t="s">
        <v>2235</v>
      </c>
      <c r="F3" s="1296"/>
      <c r="G3" s="1297"/>
    </row>
    <row r="4" spans="1:48" ht="19.5" customHeight="1" x14ac:dyDescent="0.2">
      <c r="A4" s="1987" t="s">
        <v>6</v>
      </c>
      <c r="B4" s="1988"/>
      <c r="C4" s="1989" t="s">
        <v>2236</v>
      </c>
      <c r="D4" s="1989"/>
      <c r="F4" s="1296"/>
    </row>
    <row r="5" spans="1:48" ht="15.75" x14ac:dyDescent="0.2">
      <c r="A5" s="1298" t="s">
        <v>2237</v>
      </c>
      <c r="B5" s="1299"/>
      <c r="C5" s="1990">
        <f>+'[15]Share Capital'!H22</f>
        <v>25450.446225999996</v>
      </c>
      <c r="D5" s="1990"/>
      <c r="E5" s="1300"/>
      <c r="F5" s="1296"/>
      <c r="AS5" s="1301"/>
      <c r="AT5" s="1301"/>
      <c r="AU5" s="1301"/>
      <c r="AV5" s="1301"/>
    </row>
    <row r="6" spans="1:48" ht="15.75" x14ac:dyDescent="0.2">
      <c r="A6" s="1302" t="s">
        <v>2238</v>
      </c>
      <c r="B6" s="1299"/>
      <c r="C6" s="1991">
        <v>0</v>
      </c>
      <c r="D6" s="1992"/>
      <c r="E6" s="1300"/>
      <c r="F6" s="1296"/>
      <c r="AS6" s="1301"/>
      <c r="AT6" s="1301"/>
      <c r="AU6" s="1301"/>
      <c r="AV6" s="1301"/>
    </row>
    <row r="7" spans="1:48" ht="15.75" x14ac:dyDescent="0.2">
      <c r="A7" s="1298" t="s">
        <v>2239</v>
      </c>
      <c r="B7" s="1299"/>
      <c r="C7" s="1991">
        <f>C5-C6</f>
        <v>25450.446225999996</v>
      </c>
      <c r="D7" s="1992"/>
      <c r="E7" s="1300"/>
      <c r="F7" s="1296"/>
      <c r="AS7" s="1301"/>
      <c r="AT7" s="1301"/>
      <c r="AU7" s="1301"/>
      <c r="AV7" s="1301"/>
    </row>
    <row r="8" spans="1:48" ht="15.75" customHeight="1" x14ac:dyDescent="0.2">
      <c r="A8" s="1985" t="s">
        <v>2240</v>
      </c>
      <c r="B8" s="1985"/>
      <c r="C8" s="1986">
        <f>C9-C5</f>
        <v>468.04999999999927</v>
      </c>
      <c r="D8" s="1986"/>
      <c r="E8" s="1303"/>
      <c r="F8" s="1296"/>
      <c r="AS8" s="1301"/>
      <c r="AT8" s="1301"/>
      <c r="AU8" s="1301"/>
      <c r="AV8" s="1301"/>
    </row>
    <row r="9" spans="1:48" ht="15.75" customHeight="1" x14ac:dyDescent="0.2">
      <c r="A9" s="1298" t="s">
        <v>2241</v>
      </c>
      <c r="B9" s="1299"/>
      <c r="C9" s="1990">
        <f>+'[15]Share Capital'!F22</f>
        <v>25918.496225999996</v>
      </c>
      <c r="D9" s="1990"/>
      <c r="E9" s="1300"/>
      <c r="F9" s="1296"/>
      <c r="AS9" s="1301"/>
      <c r="AT9" s="1301"/>
      <c r="AU9" s="1301"/>
      <c r="AV9" s="1301"/>
    </row>
    <row r="10" spans="1:48" ht="15.75" customHeight="1" x14ac:dyDescent="0.2">
      <c r="A10" s="1985" t="s">
        <v>2240</v>
      </c>
      <c r="B10" s="1985"/>
      <c r="C10" s="1986">
        <f>C11-C9</f>
        <v>196.90100339999844</v>
      </c>
      <c r="D10" s="1986"/>
      <c r="E10" s="1303"/>
      <c r="F10" s="1296"/>
      <c r="AS10" s="1301"/>
      <c r="AT10" s="1301"/>
      <c r="AU10" s="1301"/>
      <c r="AV10" s="1301"/>
    </row>
    <row r="11" spans="1:48" ht="16.5" customHeight="1" x14ac:dyDescent="0.2">
      <c r="A11" s="1298" t="s">
        <v>2242</v>
      </c>
      <c r="B11" s="1299"/>
      <c r="C11" s="1997">
        <f>+'[15]Share Capital'!D22</f>
        <v>26115.397229399994</v>
      </c>
      <c r="D11" s="1997"/>
      <c r="E11" s="1304"/>
      <c r="F11" s="1296"/>
      <c r="G11" s="808">
        <v>37</v>
      </c>
      <c r="AS11" s="1301"/>
      <c r="AT11" s="1301"/>
      <c r="AU11" s="1301"/>
      <c r="AV11" s="1301"/>
    </row>
    <row r="12" spans="1:48" ht="12.75" customHeight="1" x14ac:dyDescent="0.2">
      <c r="A12" s="823"/>
      <c r="F12" s="1296"/>
      <c r="AS12" s="1301"/>
      <c r="AT12" s="1301"/>
      <c r="AU12" s="1301"/>
      <c r="AV12" s="1301"/>
    </row>
    <row r="13" spans="1:48" x14ac:dyDescent="0.2">
      <c r="A13" s="315" t="s">
        <v>2243</v>
      </c>
      <c r="F13" s="1296"/>
    </row>
    <row r="14" spans="1:48" ht="12.75" customHeight="1" x14ac:dyDescent="0.2">
      <c r="A14" s="823"/>
      <c r="F14" s="1305" t="s">
        <v>547</v>
      </c>
    </row>
    <row r="15" spans="1:48" ht="13.5" customHeight="1" x14ac:dyDescent="0.2">
      <c r="A15" s="1985"/>
      <c r="B15" s="1993" t="s">
        <v>626</v>
      </c>
      <c r="C15" s="1993" t="s">
        <v>2244</v>
      </c>
      <c r="D15" s="1993" t="s">
        <v>526</v>
      </c>
      <c r="E15" s="323"/>
      <c r="F15" s="1993" t="s">
        <v>2245</v>
      </c>
    </row>
    <row r="16" spans="1:48" ht="33" customHeight="1" x14ac:dyDescent="0.2">
      <c r="A16" s="1985"/>
      <c r="B16" s="1993"/>
      <c r="C16" s="1993"/>
      <c r="D16" s="1993"/>
      <c r="E16" s="323"/>
      <c r="F16" s="1993"/>
      <c r="I16" s="808">
        <v>81.36831290954251</v>
      </c>
    </row>
    <row r="17" spans="1:11" ht="12.75" customHeight="1" x14ac:dyDescent="0.2">
      <c r="A17" s="1173" t="str">
        <f>A5</f>
        <v>As on 31.03.2022</v>
      </c>
      <c r="B17" s="1150">
        <v>468.05001187801292</v>
      </c>
      <c r="C17" s="1150">
        <v>-7964.6676196462522</v>
      </c>
      <c r="D17" s="1150">
        <v>-258.40016666620801</v>
      </c>
      <c r="E17" s="1150"/>
      <c r="F17" s="1150">
        <v>-7755.0177744344473</v>
      </c>
      <c r="H17" s="1306"/>
      <c r="I17" s="1307">
        <f>+'[15]balance sheet P&amp;L'!L264+97.46</f>
        <v>97.46</v>
      </c>
      <c r="J17" s="1308">
        <v>-97.46</v>
      </c>
      <c r="K17" s="1308"/>
    </row>
    <row r="18" spans="1:11" ht="15.75" customHeight="1" x14ac:dyDescent="0.2">
      <c r="A18" s="323" t="s">
        <v>2238</v>
      </c>
      <c r="B18" s="1150"/>
      <c r="C18" s="1150"/>
      <c r="D18" s="1150"/>
      <c r="E18" s="1150"/>
      <c r="F18" s="1150">
        <v>0</v>
      </c>
      <c r="I18" s="1307"/>
      <c r="J18" s="1308"/>
      <c r="K18" s="1308"/>
    </row>
    <row r="19" spans="1:11" ht="15.75" customHeight="1" x14ac:dyDescent="0.2">
      <c r="A19" s="1173" t="s">
        <v>2239</v>
      </c>
      <c r="B19" s="1309">
        <f>SUM(B17:B18)</f>
        <v>468.05001187801292</v>
      </c>
      <c r="C19" s="1309">
        <f t="shared" ref="C19:D19" si="0">SUM(C17:C18)</f>
        <v>-7964.6676196462522</v>
      </c>
      <c r="D19" s="1309">
        <f t="shared" si="0"/>
        <v>-258.40016666620801</v>
      </c>
      <c r="E19" s="1310"/>
      <c r="F19" s="1310">
        <f t="shared" ref="F19:F33" si="1">SUM(B19:E19)</f>
        <v>-7755.0177744344473</v>
      </c>
      <c r="G19" s="1311">
        <f>F19-'[15]balance sheet P&amp;L'!F264</f>
        <v>-2.9045804694760591E-7</v>
      </c>
      <c r="I19" s="1307"/>
      <c r="J19" s="1308"/>
      <c r="K19" s="1308"/>
    </row>
    <row r="20" spans="1:11" ht="15.75" customHeight="1" x14ac:dyDescent="0.2">
      <c r="A20" s="323" t="s">
        <v>2246</v>
      </c>
      <c r="B20" s="1312"/>
      <c r="C20" s="1312">
        <v>-796.03891433351282</v>
      </c>
      <c r="D20" s="1312"/>
      <c r="E20" s="1150"/>
      <c r="F20" s="1150">
        <f t="shared" si="1"/>
        <v>-796.03891433351282</v>
      </c>
      <c r="G20" s="805"/>
      <c r="I20" s="1313">
        <v>-1962.9902007134283</v>
      </c>
      <c r="J20" s="1313">
        <f>+I20-C20</f>
        <v>-1166.9512863799155</v>
      </c>
      <c r="K20" s="1308"/>
    </row>
    <row r="21" spans="1:11" ht="15.75" customHeight="1" x14ac:dyDescent="0.2">
      <c r="A21" s="323" t="s">
        <v>2247</v>
      </c>
      <c r="B21" s="1312"/>
      <c r="C21" s="1312"/>
      <c r="D21" s="1312">
        <v>-14.781612403487998</v>
      </c>
      <c r="E21" s="1150"/>
      <c r="F21" s="1150">
        <f t="shared" si="1"/>
        <v>-14.781612403487998</v>
      </c>
      <c r="G21" s="805"/>
      <c r="I21" s="1308"/>
      <c r="J21" s="1314">
        <f>+D21</f>
        <v>-14.781612403487998</v>
      </c>
      <c r="K21" s="1308"/>
    </row>
    <row r="22" spans="1:11" ht="15.75" hidden="1" customHeight="1" x14ac:dyDescent="0.2">
      <c r="A22" s="323"/>
      <c r="B22" s="1312"/>
      <c r="C22" s="1312"/>
      <c r="D22" s="1312"/>
      <c r="E22" s="1150"/>
      <c r="F22" s="1150">
        <f t="shared" si="1"/>
        <v>0</v>
      </c>
      <c r="G22" s="805"/>
      <c r="I22" s="1308"/>
      <c r="J22" s="1308"/>
      <c r="K22" s="1308"/>
    </row>
    <row r="23" spans="1:11" ht="15.75" customHeight="1" x14ac:dyDescent="0.2">
      <c r="A23" s="323" t="s">
        <v>2248</v>
      </c>
      <c r="B23" s="1312">
        <v>91.141003426004318</v>
      </c>
      <c r="C23" s="1312"/>
      <c r="D23" s="1312"/>
      <c r="E23" s="1150"/>
      <c r="F23" s="1150">
        <f t="shared" si="1"/>
        <v>91.141003426004318</v>
      </c>
      <c r="G23" s="805"/>
      <c r="I23" s="1308"/>
      <c r="J23" s="1308"/>
      <c r="K23" s="1308"/>
    </row>
    <row r="24" spans="1:11" ht="15.75" customHeight="1" x14ac:dyDescent="0.2">
      <c r="A24" s="323" t="s">
        <v>2249</v>
      </c>
      <c r="B24" s="1312">
        <v>-468.05</v>
      </c>
      <c r="C24" s="1312"/>
      <c r="D24" s="1312"/>
      <c r="E24" s="1150"/>
      <c r="F24" s="1150">
        <f t="shared" si="1"/>
        <v>-468.05</v>
      </c>
      <c r="G24" s="805"/>
      <c r="I24" s="1308"/>
      <c r="J24" s="1308"/>
      <c r="K24" s="1308"/>
    </row>
    <row r="25" spans="1:11" ht="15.75" customHeight="1" x14ac:dyDescent="0.2">
      <c r="A25" s="1173" t="str">
        <f>A9</f>
        <v>As at 31.03.2023</v>
      </c>
      <c r="B25" s="1309">
        <f>SUM(B19:B24)</f>
        <v>91.14101530401723</v>
      </c>
      <c r="C25" s="1309">
        <f t="shared" ref="C25:D25" si="2">SUM(C19:C24)</f>
        <v>-8760.7065339797646</v>
      </c>
      <c r="D25" s="1309">
        <f t="shared" si="2"/>
        <v>-273.18177906969601</v>
      </c>
      <c r="E25" s="1310"/>
      <c r="F25" s="1310">
        <f t="shared" si="1"/>
        <v>-8942.7472977454436</v>
      </c>
      <c r="G25" s="805"/>
      <c r="H25" s="1315"/>
      <c r="I25" s="1316">
        <f>F25-H25</f>
        <v>-8942.7472977454436</v>
      </c>
      <c r="J25" s="1316">
        <f>SUM(J17:J24)</f>
        <v>-1279.1928987834035</v>
      </c>
      <c r="K25" s="1308"/>
    </row>
    <row r="26" spans="1:11" ht="15.75" customHeight="1" x14ac:dyDescent="0.2">
      <c r="A26" s="323" t="s">
        <v>2238</v>
      </c>
      <c r="B26" s="1312"/>
      <c r="C26" s="1312">
        <f>+J20</f>
        <v>-1166.9512863799155</v>
      </c>
      <c r="D26" s="1312"/>
      <c r="E26" s="1150"/>
      <c r="F26" s="1150">
        <f t="shared" si="1"/>
        <v>-1166.9512863799155</v>
      </c>
      <c r="G26" s="805"/>
      <c r="I26" s="1317"/>
      <c r="J26" s="1317"/>
      <c r="K26" s="1308"/>
    </row>
    <row r="27" spans="1:11" ht="15.75" customHeight="1" x14ac:dyDescent="0.2">
      <c r="A27" s="1173" t="s">
        <v>2250</v>
      </c>
      <c r="B27" s="1309">
        <f>SUM(B25:B26)</f>
        <v>91.14101530401723</v>
      </c>
      <c r="C27" s="1309">
        <f t="shared" ref="C27:D27" si="3">SUM(C25:C26)</f>
        <v>-9927.65782035968</v>
      </c>
      <c r="D27" s="1309">
        <f t="shared" si="3"/>
        <v>-273.18177906969601</v>
      </c>
      <c r="E27" s="1310"/>
      <c r="F27" s="1310">
        <f t="shared" si="1"/>
        <v>-10109.698584125359</v>
      </c>
      <c r="G27" s="1311">
        <f>F27-'[15]balance sheet P&amp;L'!E264</f>
        <v>-2.5845656637102365E-7</v>
      </c>
      <c r="H27" s="1318"/>
      <c r="I27" s="1317"/>
      <c r="J27" s="1317"/>
      <c r="K27" s="1308"/>
    </row>
    <row r="28" spans="1:11" ht="15.75" customHeight="1" x14ac:dyDescent="0.2">
      <c r="A28" s="323" t="s">
        <v>2246</v>
      </c>
      <c r="B28" s="1312"/>
      <c r="C28" s="1312">
        <f>'[15]balance sheet P&amp;L'!D103</f>
        <v>173.44246798000896</v>
      </c>
      <c r="D28" s="1312"/>
      <c r="E28" s="1150"/>
      <c r="F28" s="1150">
        <f t="shared" si="1"/>
        <v>173.44246798000896</v>
      </c>
      <c r="G28" s="805"/>
      <c r="I28" s="1314">
        <f>+C28</f>
        <v>173.44246798000896</v>
      </c>
      <c r="J28" s="1308"/>
      <c r="K28" s="1308"/>
    </row>
    <row r="29" spans="1:11" ht="15.75" customHeight="1" x14ac:dyDescent="0.2">
      <c r="A29" s="323" t="s">
        <v>2247</v>
      </c>
      <c r="B29" s="1312"/>
      <c r="C29" s="1312"/>
      <c r="D29" s="1312">
        <f>'[15]balance sheet P&amp;L'!D108</f>
        <v>-128.42521917600001</v>
      </c>
      <c r="E29" s="1150"/>
      <c r="F29" s="1150">
        <f t="shared" si="1"/>
        <v>-128.42521917600001</v>
      </c>
      <c r="G29" s="805"/>
      <c r="I29" s="1308"/>
      <c r="J29" s="1314">
        <f>+D29</f>
        <v>-128.42521917600001</v>
      </c>
      <c r="K29" s="1308"/>
    </row>
    <row r="30" spans="1:11" ht="15.75" hidden="1" customHeight="1" x14ac:dyDescent="0.2">
      <c r="A30" s="323"/>
      <c r="B30" s="1312"/>
      <c r="C30" s="1312"/>
      <c r="D30" s="1312"/>
      <c r="E30" s="1150"/>
      <c r="F30" s="1150">
        <f t="shared" si="1"/>
        <v>0</v>
      </c>
      <c r="G30" s="805"/>
      <c r="I30" s="1308"/>
      <c r="J30" s="1308"/>
      <c r="K30" s="1308"/>
    </row>
    <row r="31" spans="1:11" ht="15.75" customHeight="1" x14ac:dyDescent="0.2">
      <c r="A31" s="323" t="s">
        <v>2248</v>
      </c>
      <c r="B31" s="1312">
        <f>-('[15]Balance sheet groupings'!F394-'[15]Balance sheet groupings'!D394)</f>
        <v>294.54910000000018</v>
      </c>
      <c r="C31" s="1312"/>
      <c r="D31" s="1312"/>
      <c r="E31" s="1150"/>
      <c r="F31" s="1150">
        <f t="shared" si="1"/>
        <v>294.54910000000018</v>
      </c>
      <c r="G31" s="805"/>
      <c r="I31" s="1308"/>
      <c r="J31" s="1308"/>
      <c r="K31" s="1308"/>
    </row>
    <row r="32" spans="1:11" ht="15.75" customHeight="1" x14ac:dyDescent="0.2">
      <c r="A32" s="323" t="s">
        <v>2249</v>
      </c>
      <c r="B32" s="1150">
        <f>-'[15]Share Capital'!D21</f>
        <v>-196.90100340000001</v>
      </c>
      <c r="C32" s="1312"/>
      <c r="D32" s="1312"/>
      <c r="E32" s="1150"/>
      <c r="F32" s="1150">
        <f t="shared" si="1"/>
        <v>-196.90100340000001</v>
      </c>
      <c r="G32" s="805"/>
      <c r="I32" s="1308"/>
      <c r="J32" s="1308"/>
      <c r="K32" s="1308"/>
    </row>
    <row r="33" spans="1:12" ht="15.75" customHeight="1" x14ac:dyDescent="0.2">
      <c r="A33" s="1173" t="str">
        <f>A11</f>
        <v>As at 31.03.2024</v>
      </c>
      <c r="B33" s="1310">
        <f>SUM(B27:B32)</f>
        <v>188.7891119040174</v>
      </c>
      <c r="C33" s="1310">
        <f>SUM(C27:C32)</f>
        <v>-9754.2153523796715</v>
      </c>
      <c r="D33" s="1310">
        <f>SUM(D27:D32)</f>
        <v>-401.60699824569599</v>
      </c>
      <c r="E33" s="1310"/>
      <c r="F33" s="1310">
        <f t="shared" si="1"/>
        <v>-9967.0332387213493</v>
      </c>
      <c r="G33" s="1311">
        <f>F33-'[15]balance sheet P&amp;L'!D264</f>
        <v>-2.0578573767124908E-3</v>
      </c>
      <c r="H33" s="1319">
        <f>SUM(F27:F32)-F33</f>
        <v>0</v>
      </c>
      <c r="I33" s="1316">
        <f>SUM(I25:I32)</f>
        <v>-8769.304829765435</v>
      </c>
      <c r="J33" s="1316">
        <f>SUM(J25:J32)</f>
        <v>-1407.6181179594034</v>
      </c>
      <c r="K33" s="1314">
        <f>+B33+I33+J33</f>
        <v>-9988.1338358208213</v>
      </c>
      <c r="L33" s="1315"/>
    </row>
    <row r="34" spans="1:12" ht="12.75" hidden="1" customHeight="1" x14ac:dyDescent="0.2">
      <c r="A34" s="823"/>
      <c r="F34" s="1320">
        <f>+F33-'[15]balance sheet P&amp;L'!D35</f>
        <v>-2.0578573767124908E-3</v>
      </c>
      <c r="G34" s="805"/>
      <c r="I34" s="1308"/>
      <c r="J34" s="1308"/>
      <c r="K34" s="1308"/>
    </row>
    <row r="35" spans="1:12" ht="12.75" hidden="1" customHeight="1" x14ac:dyDescent="0.2">
      <c r="A35" s="823"/>
      <c r="B35" s="1321"/>
      <c r="F35" s="1296"/>
      <c r="G35" s="805"/>
      <c r="I35" s="1308"/>
      <c r="J35" s="1308"/>
      <c r="K35" s="1308"/>
    </row>
    <row r="36" spans="1:12" ht="9" hidden="1" customHeight="1" x14ac:dyDescent="0.2">
      <c r="A36" s="1994"/>
      <c r="B36" s="1995"/>
      <c r="C36" s="1995"/>
      <c r="D36" s="1995"/>
      <c r="E36" s="1995"/>
      <c r="F36" s="1996"/>
      <c r="G36" s="805">
        <f>+F25-'[15]balance sheet P&amp;L'!E35</f>
        <v>1166.9512861214589</v>
      </c>
      <c r="I36" s="1308"/>
      <c r="J36" s="1308"/>
      <c r="K36" s="1308"/>
    </row>
    <row r="37" spans="1:12" x14ac:dyDescent="0.2">
      <c r="A37" s="823"/>
      <c r="D37" s="805"/>
      <c r="E37" s="805"/>
      <c r="F37" s="807"/>
      <c r="G37" s="805"/>
      <c r="H37" s="1315"/>
      <c r="I37" s="1308"/>
      <c r="J37" s="1308"/>
      <c r="K37" s="1314">
        <f>+'[15]balance sheet P&amp;L'!D35</f>
        <v>-9967.0311808639726</v>
      </c>
    </row>
    <row r="38" spans="1:12" x14ac:dyDescent="0.2">
      <c r="A38" s="823" t="s">
        <v>459</v>
      </c>
      <c r="B38" s="1322" t="s">
        <v>461</v>
      </c>
      <c r="D38" s="805"/>
      <c r="E38" s="805"/>
      <c r="F38" s="807"/>
      <c r="H38" s="1315"/>
      <c r="I38" s="1308"/>
      <c r="J38" s="1308"/>
      <c r="K38" s="1314">
        <f>+K33-K37</f>
        <v>-21.10265495684871</v>
      </c>
    </row>
    <row r="39" spans="1:12" x14ac:dyDescent="0.2">
      <c r="A39" s="315" t="str">
        <f>+'[15]balance sheet P&amp;L'!B61</f>
        <v>For Ummed Jain &amp; Co.</v>
      </c>
      <c r="D39" s="805"/>
      <c r="E39" s="805"/>
      <c r="F39" s="807"/>
      <c r="H39" s="1315"/>
    </row>
    <row r="40" spans="1:12" x14ac:dyDescent="0.2">
      <c r="A40" s="823" t="s">
        <v>462</v>
      </c>
      <c r="D40" s="1323"/>
      <c r="F40" s="1296"/>
      <c r="H40" s="1324"/>
    </row>
    <row r="41" spans="1:12" x14ac:dyDescent="0.2">
      <c r="A41" s="823" t="str">
        <f>'[15]balance sheet P&amp;L'!B63</f>
        <v>(FRN  -119250W)</v>
      </c>
      <c r="F41" s="1296"/>
    </row>
    <row r="42" spans="1:12" ht="30" customHeight="1" x14ac:dyDescent="0.2">
      <c r="A42" s="823"/>
      <c r="D42" s="1325"/>
      <c r="F42" s="1296"/>
    </row>
    <row r="43" spans="1:12" x14ac:dyDescent="0.2">
      <c r="A43" s="823" t="str">
        <f>+'[15]balance sheet P&amp;L'!B65</f>
        <v>(CA U. M. Jain)</v>
      </c>
      <c r="B43" s="1326" t="str">
        <f>+'[15]balance sheet P&amp;L'!C66</f>
        <v>Balasaheb Thite</v>
      </c>
      <c r="D43" s="1326" t="str">
        <f>+'[15]balance sheet P&amp;L'!E66</f>
        <v>Dr.P. Anbalagan</v>
      </c>
      <c r="E43" s="1326"/>
      <c r="F43" s="1296"/>
    </row>
    <row r="44" spans="1:12" x14ac:dyDescent="0.2">
      <c r="A44" s="823" t="str">
        <f>+'[15]balance sheet P&amp;L'!B66</f>
        <v>Partner (ICAI M No. 070863)</v>
      </c>
      <c r="B44" s="489" t="str">
        <f>+'[15]balance sheet P&amp;L'!C67</f>
        <v>Director (Finance) &amp; CFO</v>
      </c>
      <c r="D44" s="1326" t="str">
        <f>+'[15]balance sheet P&amp;L'!E67</f>
        <v>Chairman &amp; Managing Director</v>
      </c>
      <c r="E44" s="1327"/>
      <c r="F44" s="1296"/>
    </row>
    <row r="45" spans="1:12" x14ac:dyDescent="0.2">
      <c r="A45" s="823"/>
      <c r="B45" s="1326" t="str">
        <f>+'[15]balance sheet P&amp;L'!C68</f>
        <v xml:space="preserve"> DIN No.08923676</v>
      </c>
      <c r="D45" s="1326" t="str">
        <f>+'[15]balance sheet P&amp;L'!E68</f>
        <v>DIN No.05117747</v>
      </c>
      <c r="E45" s="1326"/>
      <c r="F45" s="1296"/>
    </row>
    <row r="46" spans="1:12" x14ac:dyDescent="0.2">
      <c r="A46" s="1328" t="str">
        <f>+'[15]balance sheet P&amp;L'!B68</f>
        <v>For Shah and Taparia</v>
      </c>
      <c r="B46" s="1329"/>
      <c r="F46" s="1296"/>
    </row>
    <row r="47" spans="1:12" x14ac:dyDescent="0.2">
      <c r="A47" s="1330" t="str">
        <f>+'[15]balance sheet P&amp;L'!B69</f>
        <v>Chartered Accountants</v>
      </c>
      <c r="B47" s="1329"/>
      <c r="D47" s="1331"/>
      <c r="F47" s="1296"/>
    </row>
    <row r="48" spans="1:12" x14ac:dyDescent="0.2">
      <c r="A48" s="1330" t="str">
        <f>+'[15]balance sheet P&amp;L'!B70</f>
        <v>(FRN  - 109463W )</v>
      </c>
      <c r="B48" s="1329"/>
      <c r="F48" s="1296"/>
    </row>
    <row r="49" spans="1:6" ht="33.75" customHeight="1" x14ac:dyDescent="0.2">
      <c r="A49" s="1330"/>
      <c r="B49" s="381" t="str">
        <f>+'[15]balance sheet P&amp;L'!C72</f>
        <v>Vishwanath Kulkarni</v>
      </c>
      <c r="C49" s="1332"/>
      <c r="D49" s="1333" t="str">
        <f>+'[15]balance sheet P&amp;L'!E72</f>
        <v>Rahul Dubey</v>
      </c>
      <c r="E49" s="1332"/>
      <c r="F49" s="1296"/>
    </row>
    <row r="50" spans="1:6" ht="18.75" customHeight="1" x14ac:dyDescent="0.2">
      <c r="A50" s="1330" t="str">
        <f>'[15]balance sheet P&amp;L'!B72</f>
        <v>(CA Bharat Ramesh Joshi)</v>
      </c>
      <c r="B50" s="1334" t="str">
        <f>+'[15]balance sheet P&amp;L'!C73</f>
        <v>Chief General Manager (A/c)</v>
      </c>
      <c r="C50" s="1332"/>
      <c r="D50" s="1332" t="str">
        <f>+'[15]balance sheet P&amp;L'!E73</f>
        <v>Company Secretary</v>
      </c>
      <c r="E50" s="1332"/>
      <c r="F50" s="1296"/>
    </row>
    <row r="51" spans="1:6" x14ac:dyDescent="0.2">
      <c r="A51" s="1330" t="str">
        <f>+'[15]balance sheet P&amp;L'!B73</f>
        <v>Partner (ICAI M No. 130863)</v>
      </c>
      <c r="B51" s="1335"/>
      <c r="C51" s="1336"/>
      <c r="D51" s="1332" t="str">
        <f>+'[15]balance sheet P&amp;L'!E74</f>
        <v>M No. A14213</v>
      </c>
      <c r="E51" s="1332"/>
      <c r="F51" s="1296"/>
    </row>
    <row r="52" spans="1:6" x14ac:dyDescent="0.2">
      <c r="A52" s="1330" t="str">
        <f>+'[15]balance sheet P&amp;L'!B74</f>
        <v>Mumbai, 20th September, 2024</v>
      </c>
      <c r="E52" s="1332"/>
      <c r="F52" s="1296"/>
    </row>
    <row r="53" spans="1:6" x14ac:dyDescent="0.2">
      <c r="A53" s="1337"/>
      <c r="B53" s="1338"/>
      <c r="C53" s="1338"/>
      <c r="D53" s="1338"/>
      <c r="E53" s="1338"/>
      <c r="F53" s="1339"/>
    </row>
    <row r="54" spans="1:6" x14ac:dyDescent="0.2">
      <c r="A54" s="1340"/>
      <c r="B54" s="820"/>
      <c r="C54" s="820"/>
      <c r="D54" s="820"/>
      <c r="E54" s="820"/>
      <c r="F54" s="820"/>
    </row>
    <row r="55" spans="1:6" x14ac:dyDescent="0.2">
      <c r="A55" s="1341"/>
    </row>
    <row r="56" spans="1:6" x14ac:dyDescent="0.2">
      <c r="A56" s="1341"/>
    </row>
    <row r="57" spans="1:6" ht="30" customHeight="1" x14ac:dyDescent="0.2">
      <c r="A57" s="1341"/>
    </row>
    <row r="58" spans="1:6" x14ac:dyDescent="0.2">
      <c r="A58" s="1341"/>
    </row>
    <row r="59" spans="1:6" x14ac:dyDescent="0.2">
      <c r="A59" s="1341"/>
    </row>
    <row r="60" spans="1:6" x14ac:dyDescent="0.2">
      <c r="A60" s="1341"/>
    </row>
    <row r="70" spans="2:3" x14ac:dyDescent="0.2">
      <c r="B70" s="808">
        <v>25247.13</v>
      </c>
      <c r="C70" s="808">
        <v>25284.13</v>
      </c>
    </row>
    <row r="71" spans="2:3" x14ac:dyDescent="0.2">
      <c r="B71" s="1315">
        <f>+C9</f>
        <v>25918.496225999996</v>
      </c>
      <c r="C71" s="1315">
        <f>+C11</f>
        <v>26115.397229399994</v>
      </c>
    </row>
    <row r="72" spans="2:3" x14ac:dyDescent="0.2">
      <c r="B72" s="1315">
        <f>+B70-B71</f>
        <v>-671.36622599999464</v>
      </c>
      <c r="C72" s="1315">
        <f>+C70-C71</f>
        <v>-831.26722939999308</v>
      </c>
    </row>
  </sheetData>
  <mergeCells count="17">
    <mergeCell ref="F15:F16"/>
    <mergeCell ref="A36:F36"/>
    <mergeCell ref="C9:D9"/>
    <mergeCell ref="A10:B10"/>
    <mergeCell ref="C10:D10"/>
    <mergeCell ref="C11:D11"/>
    <mergeCell ref="A15:A16"/>
    <mergeCell ref="B15:B16"/>
    <mergeCell ref="C15:C16"/>
    <mergeCell ref="D15:D16"/>
    <mergeCell ref="A8:B8"/>
    <mergeCell ref="C8:D8"/>
    <mergeCell ref="A4:B4"/>
    <mergeCell ref="C4:D4"/>
    <mergeCell ref="C5:D5"/>
    <mergeCell ref="C6:D6"/>
    <mergeCell ref="C7:D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1:CH44"/>
  <sheetViews>
    <sheetView workbookViewId="0">
      <selection sqref="A1:XFD1048576"/>
    </sheetView>
  </sheetViews>
  <sheetFormatPr defaultColWidth="9.140625" defaultRowHeight="15" x14ac:dyDescent="0.25"/>
  <cols>
    <col min="1" max="1" width="1.42578125" style="1348" customWidth="1"/>
    <col min="2" max="2" width="30.28515625" style="1348" customWidth="1"/>
    <col min="3" max="3" width="10.7109375" style="1348" customWidth="1"/>
    <col min="4" max="4" width="12.28515625" style="1348" customWidth="1"/>
    <col min="5" max="5" width="12.140625" style="1348" customWidth="1"/>
    <col min="6" max="6" width="10.7109375" style="1348" customWidth="1"/>
    <col min="7" max="7" width="11.85546875" style="1348" customWidth="1"/>
    <col min="8" max="9" width="10.7109375" style="1348" customWidth="1"/>
    <col min="10" max="11" width="11.85546875" style="1348" customWidth="1"/>
    <col min="12" max="12" width="10.7109375" style="1348" customWidth="1"/>
    <col min="13" max="13" width="12.5703125" style="1348" customWidth="1"/>
    <col min="14" max="14" width="10.7109375" style="1348" customWidth="1"/>
    <col min="15" max="15" width="11.5703125" style="1348" customWidth="1"/>
    <col min="16" max="16" width="13.42578125" style="1352" customWidth="1"/>
    <col min="17" max="17" width="9" style="1348" customWidth="1"/>
    <col min="18" max="18" width="10.7109375" style="1348" customWidth="1"/>
    <col min="19" max="19" width="13" style="1348" customWidth="1"/>
    <col min="20" max="20" width="18.85546875" style="1348" bestFit="1" customWidth="1"/>
    <col min="21" max="21" width="18.28515625" style="1348" bestFit="1" customWidth="1"/>
    <col min="22" max="22" width="19.5703125" style="1348" bestFit="1" customWidth="1"/>
    <col min="23" max="23" width="13.85546875" style="1348" bestFit="1" customWidth="1"/>
    <col min="24" max="24" width="19.5703125" style="1348" bestFit="1" customWidth="1"/>
    <col min="25" max="25" width="18.28515625" style="1348" bestFit="1" customWidth="1"/>
    <col min="26" max="26" width="16.85546875" style="1348" bestFit="1" customWidth="1"/>
    <col min="27" max="85" width="8.85546875" customWidth="1"/>
    <col min="86" max="16384" width="9.140625" style="1348"/>
  </cols>
  <sheetData>
    <row r="1" spans="2:86" ht="18.75" x14ac:dyDescent="0.3">
      <c r="B1" s="1342" t="s">
        <v>2251</v>
      </c>
      <c r="C1" s="1343"/>
      <c r="D1" s="1343"/>
      <c r="E1" s="1343"/>
      <c r="F1" s="1344"/>
      <c r="G1" s="1345">
        <f>10^7</f>
        <v>10000000</v>
      </c>
      <c r="H1" s="1344"/>
      <c r="I1" s="1344"/>
      <c r="J1" s="1344"/>
      <c r="K1" s="1344"/>
      <c r="L1" s="1344"/>
      <c r="M1" s="1344"/>
      <c r="N1" s="1344"/>
      <c r="O1" s="1344"/>
      <c r="P1" s="1346"/>
      <c r="Q1" s="1344"/>
      <c r="R1" s="1347"/>
      <c r="V1" s="1349"/>
    </row>
    <row r="2" spans="2:86" ht="18.75" x14ac:dyDescent="0.3">
      <c r="B2" s="1350" t="s">
        <v>2252</v>
      </c>
      <c r="C2" s="1351"/>
      <c r="D2" s="1351"/>
      <c r="R2" s="1353"/>
      <c r="V2" s="1349"/>
    </row>
    <row r="3" spans="2:86" ht="15.75" x14ac:dyDescent="0.25">
      <c r="B3" s="1354"/>
      <c r="C3" s="1998" t="s">
        <v>2253</v>
      </c>
      <c r="D3" s="1998"/>
      <c r="E3" s="1998"/>
      <c r="F3" s="1355"/>
      <c r="G3" s="1355"/>
      <c r="H3" s="1355"/>
      <c r="I3" s="1355"/>
      <c r="J3" s="1356"/>
      <c r="K3" s="1355"/>
      <c r="L3" s="1355"/>
      <c r="M3" s="1355"/>
      <c r="N3" s="1355"/>
      <c r="O3" s="1355"/>
      <c r="P3" s="1357"/>
      <c r="Q3" s="1358"/>
      <c r="R3" s="1359"/>
      <c r="V3" s="1349"/>
    </row>
    <row r="4" spans="2:86" ht="15.75" x14ac:dyDescent="0.25">
      <c r="B4" s="1999" t="s">
        <v>2254</v>
      </c>
      <c r="C4" s="1360" t="s">
        <v>2255</v>
      </c>
      <c r="D4" s="1361"/>
      <c r="E4" s="1361"/>
      <c r="F4" s="1361"/>
      <c r="G4" s="1361"/>
      <c r="H4" s="1361"/>
      <c r="I4" s="1361"/>
      <c r="J4" s="1361"/>
      <c r="K4" s="1361"/>
      <c r="L4" s="1361"/>
      <c r="M4" s="1361"/>
      <c r="N4" s="1361"/>
      <c r="O4" s="1361"/>
      <c r="P4" s="1362"/>
      <c r="Q4" s="2000" t="s">
        <v>2256</v>
      </c>
      <c r="R4" s="2001"/>
      <c r="V4" s="1349"/>
    </row>
    <row r="5" spans="2:86" x14ac:dyDescent="0.25">
      <c r="B5" s="1999"/>
      <c r="C5" s="2002" t="s">
        <v>2257</v>
      </c>
      <c r="D5" s="2003"/>
      <c r="E5" s="2002" t="s">
        <v>220</v>
      </c>
      <c r="F5" s="2003"/>
      <c r="G5" s="2004" t="s">
        <v>2258</v>
      </c>
      <c r="H5" s="2002" t="s">
        <v>2259</v>
      </c>
      <c r="I5" s="2003"/>
      <c r="J5" s="2004" t="s">
        <v>2260</v>
      </c>
      <c r="K5" s="2004" t="s">
        <v>2261</v>
      </c>
      <c r="L5" s="2004" t="s">
        <v>2262</v>
      </c>
      <c r="M5" s="2004" t="s">
        <v>2263</v>
      </c>
      <c r="N5" s="2004" t="s">
        <v>2264</v>
      </c>
      <c r="O5" s="2004" t="s">
        <v>2265</v>
      </c>
      <c r="P5" s="2009" t="s">
        <v>2266</v>
      </c>
      <c r="Q5" s="2011" t="s">
        <v>2267</v>
      </c>
      <c r="R5" s="2004" t="s">
        <v>2268</v>
      </c>
      <c r="V5" s="1349"/>
    </row>
    <row r="6" spans="2:86" ht="42.75" x14ac:dyDescent="0.25">
      <c r="B6" s="1999"/>
      <c r="C6" s="1363" t="s">
        <v>2269</v>
      </c>
      <c r="D6" s="1363" t="s">
        <v>2270</v>
      </c>
      <c r="E6" s="1363" t="s">
        <v>2271</v>
      </c>
      <c r="F6" s="1363" t="s">
        <v>2272</v>
      </c>
      <c r="G6" s="2005"/>
      <c r="H6" s="1363" t="s">
        <v>2273</v>
      </c>
      <c r="I6" s="1363" t="s">
        <v>2274</v>
      </c>
      <c r="J6" s="2005"/>
      <c r="K6" s="2005"/>
      <c r="L6" s="2005"/>
      <c r="M6" s="2005"/>
      <c r="N6" s="2005"/>
      <c r="O6" s="2005"/>
      <c r="P6" s="2010"/>
      <c r="Q6" s="2012"/>
      <c r="R6" s="2005"/>
      <c r="V6" s="1349"/>
    </row>
    <row r="7" spans="2:86" x14ac:dyDescent="0.25">
      <c r="B7" s="1298" t="str">
        <f>'[15]Statement of changes in equity'!$A$5</f>
        <v>As on 31.03.2022</v>
      </c>
      <c r="C7" s="1364">
        <f>'[15]FA working'!C9/10^7</f>
        <v>1666.1285420889999</v>
      </c>
      <c r="D7" s="1364">
        <f>'[15]FA working'!D9/10^7</f>
        <v>106.10673793423894</v>
      </c>
      <c r="E7" s="1364">
        <f>'[15]FA working'!E9/10^7</f>
        <v>886.04758833345511</v>
      </c>
      <c r="F7" s="1364">
        <f>'[15]FA working'!F9/10^7</f>
        <v>1215.46956300171</v>
      </c>
      <c r="G7" s="1364">
        <f>'[15]FA working'!G9/10^7</f>
        <v>2622.1991246447128</v>
      </c>
      <c r="H7" s="1364">
        <f>'[15]FA working'!H9/10^7</f>
        <v>1183.9949704202679</v>
      </c>
      <c r="I7" s="1364">
        <f>'[15]FA working'!I9/10^7</f>
        <v>1183.8688806665982</v>
      </c>
      <c r="J7" s="1364">
        <f>'[15]FA working'!J9/10^7</f>
        <v>37391.440313478299</v>
      </c>
      <c r="K7" s="1364">
        <f>'[15]FA working'!K9/10^7</f>
        <v>547.7557655444798</v>
      </c>
      <c r="L7" s="1364">
        <f>'[15]FA working'!L9/10^7</f>
        <v>38.82752027330806</v>
      </c>
      <c r="M7" s="1364">
        <f>'[15]FA working'!M9/10^7</f>
        <v>35.756384115049329</v>
      </c>
      <c r="N7" s="1364">
        <f>'[15]FA working'!N9/10^7</f>
        <v>62.872925931330052</v>
      </c>
      <c r="O7" s="1364">
        <f>'[15]FA working'!O9/10^7</f>
        <v>57.487613597000006</v>
      </c>
      <c r="P7" s="1364">
        <f t="shared" ref="P7:P13" si="0">SUM(C7:O7)</f>
        <v>46997.95593002945</v>
      </c>
      <c r="Q7" s="1364"/>
      <c r="R7" s="1364"/>
      <c r="V7" s="1349"/>
      <c r="CH7" s="1352"/>
    </row>
    <row r="8" spans="2:86" ht="15.75" x14ac:dyDescent="0.25">
      <c r="B8" s="1365" t="s">
        <v>58</v>
      </c>
      <c r="C8" s="1364">
        <f>'[15]FA working'!C11/10^7</f>
        <v>12.623170281</v>
      </c>
      <c r="D8" s="1364">
        <f>'[15]FA working'!D11/10^7</f>
        <v>0</v>
      </c>
      <c r="E8" s="1364">
        <f>'[15]FA working'!E11/10^7</f>
        <v>-0.28295460899999997</v>
      </c>
      <c r="F8" s="1364">
        <f>'[15]FA working'!F11/10^7</f>
        <v>16.793110793</v>
      </c>
      <c r="G8" s="1364">
        <f>'[15]FA working'!G11/10^7</f>
        <v>18.007464134999999</v>
      </c>
      <c r="H8" s="1364">
        <f>'[15]FA working'!H11/10^7</f>
        <v>33.759840695000001</v>
      </c>
      <c r="I8" s="1364">
        <f>'[15]FA working'!I11/10^7</f>
        <v>40.867779542000001</v>
      </c>
      <c r="J8" s="1364">
        <f>'[15]FA working'!J11/10^7</f>
        <v>689.96598361300005</v>
      </c>
      <c r="K8" s="1364">
        <f>'[15]FA working'!K11/10^7</f>
        <v>0</v>
      </c>
      <c r="L8" s="1364">
        <f>'[15]FA working'!L11/10^7</f>
        <v>18.376031125999997</v>
      </c>
      <c r="M8" s="1364">
        <f>'[15]FA working'!M11/10^7</f>
        <v>1.0752101029999999</v>
      </c>
      <c r="N8" s="1364">
        <f>'[15]FA working'!N11/10^7</f>
        <v>14.508700222999998</v>
      </c>
      <c r="O8" s="1364">
        <f>'[15]FA working'!O11/10^7</f>
        <v>0</v>
      </c>
      <c r="P8" s="1364">
        <f t="shared" si="0"/>
        <v>845.69433590200015</v>
      </c>
      <c r="Q8" s="1364"/>
      <c r="R8" s="1364"/>
      <c r="S8" s="1366">
        <f>P8+'[15]Note 1A'!C32</f>
        <v>845.75357045300018</v>
      </c>
      <c r="V8" s="1349"/>
      <c r="X8" s="1367"/>
      <c r="CH8" s="1352"/>
    </row>
    <row r="9" spans="2:86" ht="15.75" x14ac:dyDescent="0.25">
      <c r="B9" s="1365" t="s">
        <v>2275</v>
      </c>
      <c r="C9" s="1364">
        <f>'[15]FA working'!C12/10^7</f>
        <v>0</v>
      </c>
      <c r="D9" s="1364">
        <f>'[15]FA working'!D12/10^7</f>
        <v>0</v>
      </c>
      <c r="E9" s="1364">
        <f>'[15]FA working'!E12/10^7</f>
        <v>0</v>
      </c>
      <c r="F9" s="1364">
        <f>'[15]FA working'!F12/10^7</f>
        <v>2.8251251229999998</v>
      </c>
      <c r="G9" s="1364">
        <f>'[15]FA working'!G12/10^7</f>
        <v>0</v>
      </c>
      <c r="H9" s="1364">
        <f>'[15]FA working'!H12/10^7</f>
        <v>-7.658598543000001</v>
      </c>
      <c r="I9" s="1364">
        <f>'[15]FA working'!I12/10^7</f>
        <v>0</v>
      </c>
      <c r="J9" s="1364">
        <f>'[15]FA working'!J12/10^7</f>
        <v>4.8439625800000004</v>
      </c>
      <c r="K9" s="1364">
        <f>'[15]FA working'!K12/10^7</f>
        <v>0</v>
      </c>
      <c r="L9" s="1364">
        <f>'[15]FA working'!L12/10^7</f>
        <v>-0.16358247000000001</v>
      </c>
      <c r="M9" s="1364">
        <f>'[15]FA working'!M12/10^7</f>
        <v>4.6256500000000088E-4</v>
      </c>
      <c r="N9" s="1364">
        <f>'[15]FA working'!N12/10^7</f>
        <v>3.1382396630000002</v>
      </c>
      <c r="O9" s="1364">
        <f>'[15]FA working'!O12/10^7</f>
        <v>0</v>
      </c>
      <c r="P9" s="1364">
        <f t="shared" si="0"/>
        <v>2.9856089180000001</v>
      </c>
      <c r="Q9" s="1364"/>
      <c r="R9" s="1364"/>
      <c r="V9" s="1349"/>
      <c r="X9" s="1367"/>
      <c r="CH9" s="1352"/>
    </row>
    <row r="10" spans="2:86" x14ac:dyDescent="0.25">
      <c r="B10" s="1298" t="str">
        <f>'[15]Statement of changes in equity'!$A$9</f>
        <v>As at 31.03.2023</v>
      </c>
      <c r="C10" s="1368">
        <f t="shared" ref="C10:O10" si="1">C7+C8-C9</f>
        <v>1678.75171237</v>
      </c>
      <c r="D10" s="1368">
        <f t="shared" si="1"/>
        <v>106.10673793423894</v>
      </c>
      <c r="E10" s="1368">
        <f t="shared" si="1"/>
        <v>885.76463372445517</v>
      </c>
      <c r="F10" s="1368">
        <f t="shared" si="1"/>
        <v>1229.4375486717101</v>
      </c>
      <c r="G10" s="1368">
        <f t="shared" si="1"/>
        <v>2640.206588779713</v>
      </c>
      <c r="H10" s="1368">
        <f t="shared" si="1"/>
        <v>1225.4134096582679</v>
      </c>
      <c r="I10" s="1368">
        <f t="shared" si="1"/>
        <v>1224.7366602085983</v>
      </c>
      <c r="J10" s="1368">
        <f t="shared" si="1"/>
        <v>38076.562334511298</v>
      </c>
      <c r="K10" s="1368">
        <f t="shared" si="1"/>
        <v>547.7557655444798</v>
      </c>
      <c r="L10" s="1368">
        <f t="shared" si="1"/>
        <v>57.367133869308056</v>
      </c>
      <c r="M10" s="1368">
        <f t="shared" si="1"/>
        <v>36.831131653049333</v>
      </c>
      <c r="N10" s="1368">
        <f t="shared" si="1"/>
        <v>74.243386491330057</v>
      </c>
      <c r="O10" s="1368">
        <f t="shared" si="1"/>
        <v>57.487613597000006</v>
      </c>
      <c r="P10" s="1364">
        <f t="shared" si="0"/>
        <v>47840.664657013454</v>
      </c>
      <c r="Q10" s="1368"/>
      <c r="R10" s="1368"/>
      <c r="V10" s="1349"/>
      <c r="X10" s="1367"/>
      <c r="CH10" s="1352"/>
    </row>
    <row r="11" spans="2:86" ht="15.75" x14ac:dyDescent="0.25">
      <c r="B11" s="1365" t="s">
        <v>58</v>
      </c>
      <c r="C11" s="1364">
        <f>+'[15]FA working'!C16/10^7</f>
        <v>9.7535670000000003</v>
      </c>
      <c r="D11" s="1364">
        <f>+'[15]FA working'!D16/10^7</f>
        <v>12.124307</v>
      </c>
      <c r="E11" s="1364">
        <f>+'[15]FA working'!E16/10^7</f>
        <v>2.4395212440000003</v>
      </c>
      <c r="F11" s="1364">
        <f>+'[15]FA working'!F16/10^7</f>
        <v>20.656462070000003</v>
      </c>
      <c r="G11" s="1364">
        <f>+'[15]FA working'!G16/10^7</f>
        <v>64.000937667000002</v>
      </c>
      <c r="H11" s="1364">
        <f>+'[15]FA working'!H16/10^7</f>
        <v>2.5726266660000001</v>
      </c>
      <c r="I11" s="1364">
        <f>+'[15]FA working'!I16/10^7</f>
        <v>73.27490548099999</v>
      </c>
      <c r="J11" s="1364">
        <f>+'[15]FA working'!J16/10^7</f>
        <v>452.6731279120001</v>
      </c>
      <c r="K11" s="1368">
        <f>+'[15]FA working'!K16/10^7</f>
        <v>2.9193972000000001</v>
      </c>
      <c r="L11" s="1368">
        <f>+'[15]FA working'!L16/10^7</f>
        <v>12.076509285</v>
      </c>
      <c r="M11" s="1368">
        <f>+'[15]FA working'!M16/10^7</f>
        <v>1.4905394630000002</v>
      </c>
      <c r="N11" s="1368">
        <f>+'[15]FA working'!N16/10^7</f>
        <v>8.8333900119999988</v>
      </c>
      <c r="O11" s="1368">
        <f>+'[15]FA working'!O16/10^7</f>
        <v>0</v>
      </c>
      <c r="P11" s="1364">
        <f t="shared" si="0"/>
        <v>662.81529100000012</v>
      </c>
      <c r="Q11" s="1368"/>
      <c r="R11" s="1368"/>
      <c r="V11" s="1349"/>
      <c r="X11" s="1367"/>
      <c r="CH11" s="1352"/>
    </row>
    <row r="12" spans="2:86" ht="15.75" x14ac:dyDescent="0.25">
      <c r="B12" s="1365" t="s">
        <v>2275</v>
      </c>
      <c r="C12" s="1368">
        <f>+'[15]FA working'!C17/10^7</f>
        <v>0</v>
      </c>
      <c r="D12" s="1368">
        <f>+'[15]FA working'!D17/10^7</f>
        <v>0</v>
      </c>
      <c r="E12" s="1368">
        <f>+'[15]FA working'!E17/10^7</f>
        <v>0</v>
      </c>
      <c r="F12" s="1368">
        <f>+'[15]FA working'!F17/10^7</f>
        <v>2.9414015999999998E-2</v>
      </c>
      <c r="G12" s="1368">
        <f>+'[15]FA working'!G17/10^7</f>
        <v>0</v>
      </c>
      <c r="H12" s="1368">
        <f>+'[15]FA working'!H17/10^7</f>
        <v>0.1202855</v>
      </c>
      <c r="I12" s="1368">
        <f>+'[15]FA working'!I17/10^7</f>
        <v>1.0712661269999999</v>
      </c>
      <c r="J12" s="1368">
        <f>+'[15]FA working'!J17/10^7</f>
        <v>10.527847259</v>
      </c>
      <c r="K12" s="1368">
        <f>+'[15]FA working'!K17/10^7</f>
        <v>2.7669999999999999E-3</v>
      </c>
      <c r="L12" s="1368">
        <f>+'[15]FA working'!L17/10^7</f>
        <v>0</v>
      </c>
      <c r="M12" s="1368">
        <f>+'[15]FA working'!M17/10^7</f>
        <v>0.17952389999999999</v>
      </c>
      <c r="N12" s="1368">
        <f>+'[15]FA working'!N17/10^7</f>
        <v>0.55168464400000006</v>
      </c>
      <c r="O12" s="1368">
        <f>+'[15]FA working'!O17/10^7</f>
        <v>0</v>
      </c>
      <c r="P12" s="1364">
        <f t="shared" si="0"/>
        <v>12.482788445999999</v>
      </c>
      <c r="Q12" s="1368"/>
      <c r="R12" s="1368"/>
      <c r="T12" s="1352"/>
      <c r="V12" s="1349"/>
      <c r="X12" s="1367"/>
      <c r="CH12" s="1352"/>
    </row>
    <row r="13" spans="2:86" x14ac:dyDescent="0.25">
      <c r="B13" s="1298" t="str">
        <f>'[15]Statement of changes in equity'!$A$11</f>
        <v>As at 31.03.2024</v>
      </c>
      <c r="C13" s="1368">
        <f t="shared" ref="C13:O13" si="2">C10+C11-C12</f>
        <v>1688.5052793699999</v>
      </c>
      <c r="D13" s="1368">
        <f t="shared" si="2"/>
        <v>118.23104493423894</v>
      </c>
      <c r="E13" s="1368">
        <f t="shared" si="2"/>
        <v>888.20415496845521</v>
      </c>
      <c r="F13" s="1368">
        <f t="shared" si="2"/>
        <v>1250.0645967257103</v>
      </c>
      <c r="G13" s="1368">
        <f t="shared" si="2"/>
        <v>2704.207526446713</v>
      </c>
      <c r="H13" s="1368">
        <f t="shared" si="2"/>
        <v>1227.8657508242679</v>
      </c>
      <c r="I13" s="1368">
        <f t="shared" si="2"/>
        <v>1296.9402995625983</v>
      </c>
      <c r="J13" s="1368">
        <f t="shared" si="2"/>
        <v>38518.707615164298</v>
      </c>
      <c r="K13" s="1368">
        <f t="shared" si="2"/>
        <v>550.6723957444799</v>
      </c>
      <c r="L13" s="1368">
        <f t="shared" si="2"/>
        <v>69.443643154308063</v>
      </c>
      <c r="M13" s="1368">
        <f t="shared" si="2"/>
        <v>38.142147216049331</v>
      </c>
      <c r="N13" s="1368">
        <f t="shared" si="2"/>
        <v>82.525091859330047</v>
      </c>
      <c r="O13" s="1368">
        <f t="shared" si="2"/>
        <v>57.487613597000006</v>
      </c>
      <c r="P13" s="1364">
        <f t="shared" si="0"/>
        <v>48490.997159567443</v>
      </c>
      <c r="Q13" s="1368"/>
      <c r="R13" s="1368"/>
      <c r="T13" s="1352"/>
      <c r="V13" s="1349"/>
      <c r="X13" s="1367"/>
      <c r="CH13" s="1352"/>
    </row>
    <row r="14" spans="2:86" ht="15.75" hidden="1" x14ac:dyDescent="0.25">
      <c r="B14" s="1369"/>
      <c r="C14" s="1368"/>
      <c r="D14" s="1368"/>
      <c r="E14" s="1368"/>
      <c r="F14" s="1368"/>
      <c r="G14" s="1368"/>
      <c r="H14" s="1368"/>
      <c r="I14" s="1368"/>
      <c r="J14" s="1368"/>
      <c r="K14" s="1368"/>
      <c r="L14" s="1368"/>
      <c r="M14" s="1368"/>
      <c r="N14" s="1368"/>
      <c r="O14" s="1368"/>
      <c r="P14" s="1364"/>
      <c r="Q14" s="1368"/>
      <c r="R14" s="1368"/>
      <c r="U14" s="1352"/>
      <c r="V14" s="1349"/>
      <c r="X14" s="1367"/>
      <c r="CH14" s="1352"/>
    </row>
    <row r="15" spans="2:86" ht="31.5" x14ac:dyDescent="0.25">
      <c r="B15" s="1370" t="s">
        <v>2276</v>
      </c>
      <c r="C15" s="1364"/>
      <c r="D15" s="1364"/>
      <c r="E15" s="1364"/>
      <c r="F15" s="1364"/>
      <c r="G15" s="1364"/>
      <c r="H15" s="1364"/>
      <c r="I15" s="1364"/>
      <c r="J15" s="1364"/>
      <c r="K15" s="1364"/>
      <c r="L15" s="1364"/>
      <c r="M15" s="1364"/>
      <c r="N15" s="1364"/>
      <c r="O15" s="1364"/>
      <c r="P15" s="1364"/>
      <c r="Q15" s="1364"/>
      <c r="R15" s="1364"/>
      <c r="V15" s="1349"/>
      <c r="X15" s="1367"/>
      <c r="CH15" s="1352"/>
    </row>
    <row r="16" spans="2:86" x14ac:dyDescent="0.25">
      <c r="B16" s="1298" t="str">
        <f>'[15]Statement of changes in equity'!$A$5</f>
        <v>As on 31.03.2022</v>
      </c>
      <c r="C16" s="1364">
        <f>'[15]FA working'!C23/10^7</f>
        <v>0</v>
      </c>
      <c r="D16" s="1364">
        <f>'[15]FA working'!D23/10^7</f>
        <v>31.172435284238933</v>
      </c>
      <c r="E16" s="1364">
        <f>'[15]FA working'!E23/10^7</f>
        <v>164.75983867945499</v>
      </c>
      <c r="F16" s="1364">
        <f>'[15]FA working'!F23/10^7</f>
        <v>474.96134957571098</v>
      </c>
      <c r="G16" s="1364">
        <f>'[15]FA working'!G23/10^7</f>
        <v>903.76860032771185</v>
      </c>
      <c r="H16" s="1364">
        <f>'[15]FA working'!H23/10^7</f>
        <v>325.30795738326799</v>
      </c>
      <c r="I16" s="1364">
        <f>'[15]FA working'!I23/10^7</f>
        <v>252.19288698859802</v>
      </c>
      <c r="J16" s="1364">
        <f>'[15]FA working'!J23/10^7</f>
        <v>11789.433076383311</v>
      </c>
      <c r="K16" s="1364">
        <f>'[15]FA working'!K23/10^7</f>
        <v>197.69294140247959</v>
      </c>
      <c r="L16" s="1364">
        <f>'[15]FA working'!L23/10^7</f>
        <v>8.9247727423080594</v>
      </c>
      <c r="M16" s="1364">
        <f>'[15]FA working'!M23/10^7</f>
        <v>14.585048193049342</v>
      </c>
      <c r="N16" s="1364">
        <f>'[15]FA working'!N23/10^7</f>
        <v>29.165713056330102</v>
      </c>
      <c r="O16" s="1364">
        <f>'[15]FA working'!O23/10^7</f>
        <v>31.267541556999998</v>
      </c>
      <c r="P16" s="1364">
        <f t="shared" ref="P16" si="3">SUM(C16:O16)</f>
        <v>14223.232161573462</v>
      </c>
      <c r="Q16" s="1364"/>
      <c r="R16" s="1364"/>
      <c r="V16" s="1349"/>
      <c r="X16" s="1367"/>
      <c r="CH16" s="1352"/>
    </row>
    <row r="17" spans="2:86" ht="15.75" x14ac:dyDescent="0.25">
      <c r="B17" s="1365" t="s">
        <v>58</v>
      </c>
      <c r="C17" s="1364">
        <f>('[15]FA working'!C24+'[15]FA working'!C25)/10^7</f>
        <v>0</v>
      </c>
      <c r="D17" s="1364">
        <f>('[15]FA working'!D24+'[15]FA working'!D25)/10^7</f>
        <v>4.7401055000000003</v>
      </c>
      <c r="E17" s="1364">
        <f>('[15]FA working'!E24+'[15]FA working'!E25)/10^7</f>
        <v>36.6522316</v>
      </c>
      <c r="F17" s="1364">
        <f>('[15]FA working'!F24+'[15]FA working'!F25)/10^7</f>
        <v>30.208247292999999</v>
      </c>
      <c r="G17" s="1364">
        <f>('[15]FA working'!G24+'[15]FA working'!G25)/10^7</f>
        <v>141.27203687899998</v>
      </c>
      <c r="H17" s="1364">
        <f>('[15]FA working'!H24+'[15]FA working'!H25)/10^7</f>
        <v>38.984386724000004</v>
      </c>
      <c r="I17" s="1364">
        <f>('[15]FA working'!I24+'[15]FA working'!I25)/10^7</f>
        <v>46.741750760000002</v>
      </c>
      <c r="J17" s="1364">
        <f>('[15]FA working'!J24+'[15]FA working'!J25)/10^7</f>
        <v>2250.8551907349997</v>
      </c>
      <c r="K17" s="1364">
        <f>('[15]FA working'!K24+'[15]FA working'!K25)/10^7</f>
        <v>26.877271499999999</v>
      </c>
      <c r="L17" s="1364">
        <f>('[15]FA working'!L24+'[15]FA working'!L25)/10^7</f>
        <v>4.6919517700000002</v>
      </c>
      <c r="M17" s="1364">
        <f>('[15]FA working'!M24+'[15]FA working'!M25)/10^7</f>
        <v>2.6841433920000002</v>
      </c>
      <c r="N17" s="1364">
        <f>('[15]FA working'!N24+'[15]FA working'!N25)/10^7</f>
        <v>7.1526570629999995</v>
      </c>
      <c r="O17" s="1364">
        <f>('[15]FA working'!O24+'[15]FA working'!O25)/10^7</f>
        <v>3.7538632000000001</v>
      </c>
      <c r="P17" s="1364">
        <f>SUM(C17:O17)</f>
        <v>2594.6138364159992</v>
      </c>
      <c r="Q17" s="1371">
        <f>+'[15]FA working'!S24/10^7</f>
        <v>2.9105208660000002</v>
      </c>
      <c r="R17" s="1371">
        <f>+P17-Q17</f>
        <v>2591.7033155499994</v>
      </c>
      <c r="S17" s="1372">
        <f>'[15]Note 1A'!E14+'[15]Note 1A'!C37</f>
        <v>255.55364868799998</v>
      </c>
      <c r="T17" s="1373">
        <f>R17+S17-'[15]balance sheet P&amp;L'!E90</f>
        <v>0</v>
      </c>
      <c r="V17" s="1349"/>
      <c r="X17" s="1367"/>
      <c r="CH17" s="1352"/>
    </row>
    <row r="18" spans="2:86" ht="15.75" x14ac:dyDescent="0.25">
      <c r="B18" s="1365" t="s">
        <v>2277</v>
      </c>
      <c r="C18" s="1364">
        <f>(+'[15]FA working'!C26)/10^7</f>
        <v>0</v>
      </c>
      <c r="D18" s="1364">
        <f>(+'[15]FA working'!D26)/10^7</f>
        <v>0</v>
      </c>
      <c r="E18" s="1364">
        <f>(+'[15]FA working'!E26)/10^7</f>
        <v>0</v>
      </c>
      <c r="F18" s="1364">
        <f>(+'[15]FA working'!F26)/10^7</f>
        <v>2.5426126129999997</v>
      </c>
      <c r="G18" s="1364">
        <f>(+'[15]FA working'!G26)/10^7</f>
        <v>0</v>
      </c>
      <c r="H18" s="1364">
        <f>(+'[15]FA working'!H26)/10^7</f>
        <v>0</v>
      </c>
      <c r="I18" s="1364">
        <f>(+'[15]FA working'!I26)/10^7</f>
        <v>0</v>
      </c>
      <c r="J18" s="1364">
        <f>(+'[15]FA working'!J26)/10^7</f>
        <v>0.94101403099999914</v>
      </c>
      <c r="K18" s="1364">
        <f>(+'[15]FA working'!K26)/10^7</f>
        <v>0</v>
      </c>
      <c r="L18" s="1364">
        <f>(+'[15]FA working'!L26)/10^7</f>
        <v>2.3603814700000001</v>
      </c>
      <c r="M18" s="1364">
        <f>(+'[15]FA working'!M26)/10^7</f>
        <v>1.8607954999999999E-2</v>
      </c>
      <c r="N18" s="1364">
        <f>(+'[15]FA working'!N26)/10^7</f>
        <v>2.9787198020000001</v>
      </c>
      <c r="O18" s="1364">
        <f>(+'[15]FA working'!O26)/10^7</f>
        <v>0</v>
      </c>
      <c r="P18" s="1364">
        <f>SUM(C18:O18)</f>
        <v>8.8413358710000001</v>
      </c>
      <c r="Q18" s="1364"/>
      <c r="R18" s="1364"/>
      <c r="S18" s="1374"/>
      <c r="V18" s="1349"/>
      <c r="X18" s="1367"/>
      <c r="CH18" s="1352"/>
    </row>
    <row r="19" spans="2:86" x14ac:dyDescent="0.25">
      <c r="B19" s="1298" t="str">
        <f>'[15]Statement of changes in equity'!$A$9</f>
        <v>As at 31.03.2023</v>
      </c>
      <c r="C19" s="1364">
        <f t="shared" ref="C19:O19" si="4">C16+C17-C18</f>
        <v>0</v>
      </c>
      <c r="D19" s="1364">
        <f>D16+D17-D18</f>
        <v>35.912540784238935</v>
      </c>
      <c r="E19" s="1364">
        <f t="shared" si="4"/>
        <v>201.41207027945498</v>
      </c>
      <c r="F19" s="1364">
        <f t="shared" si="4"/>
        <v>502.62698425571097</v>
      </c>
      <c r="G19" s="1364">
        <f t="shared" si="4"/>
        <v>1045.0406372067118</v>
      </c>
      <c r="H19" s="1364">
        <f t="shared" si="4"/>
        <v>364.29234410726798</v>
      </c>
      <c r="I19" s="1364">
        <f t="shared" si="4"/>
        <v>298.93463774859799</v>
      </c>
      <c r="J19" s="1364">
        <f t="shared" si="4"/>
        <v>14039.347253087311</v>
      </c>
      <c r="K19" s="1364">
        <f t="shared" si="4"/>
        <v>224.5702129024796</v>
      </c>
      <c r="L19" s="1364">
        <f t="shared" si="4"/>
        <v>11.25634304230806</v>
      </c>
      <c r="M19" s="1364">
        <f t="shared" si="4"/>
        <v>17.250583630049341</v>
      </c>
      <c r="N19" s="1364">
        <f t="shared" si="4"/>
        <v>33.339650317330097</v>
      </c>
      <c r="O19" s="1364">
        <f t="shared" si="4"/>
        <v>35.021404756999999</v>
      </c>
      <c r="P19" s="1364">
        <f>SUM(C19:O19)</f>
        <v>16809.004662118463</v>
      </c>
      <c r="Q19" s="1364"/>
      <c r="R19" s="1364"/>
      <c r="V19" s="1349"/>
      <c r="X19" s="1367"/>
      <c r="CH19" s="1352"/>
    </row>
    <row r="20" spans="2:86" ht="15.75" x14ac:dyDescent="0.25">
      <c r="B20" s="1365" t="s">
        <v>58</v>
      </c>
      <c r="C20" s="1375">
        <f>(('[15]FA working'!C29+'[15]FA working'!C30)/10^7)</f>
        <v>0</v>
      </c>
      <c r="D20" s="1375">
        <f>(('[15]FA working'!D29+'[15]FA working'!D30)/10^7)</f>
        <v>4.6611259799999996</v>
      </c>
      <c r="E20" s="1375">
        <f>(('[15]FA working'!E29+'[15]FA working'!E30)/10^7)</f>
        <v>38.583937889999994</v>
      </c>
      <c r="F20" s="1375">
        <f>(('[15]FA working'!F29+'[15]FA working'!F30)/10^7)</f>
        <v>31.124332325999998</v>
      </c>
      <c r="G20" s="1375">
        <f>(('[15]FA working'!G29+'[15]FA working'!G30)/10^7)</f>
        <v>134.39723559399999</v>
      </c>
      <c r="H20" s="1375">
        <f>(('[15]FA working'!H29+'[15]FA working'!H30)/10^7)</f>
        <v>45.560515280000004</v>
      </c>
      <c r="I20" s="1375">
        <f>(('[15]FA working'!I29+'[15]FA working'!I30)/10^7)</f>
        <v>46.606060747000001</v>
      </c>
      <c r="J20" s="1375">
        <f>(('[15]FA working'!J29+'[15]FA working'!J30)/10^7)</f>
        <v>2084.175985031</v>
      </c>
      <c r="K20" s="1375">
        <f>(('[15]FA working'!K29+'[15]FA working'!K30)/10^7)</f>
        <v>26.932201800000001</v>
      </c>
      <c r="L20" s="1375">
        <f>(('[15]FA working'!L29+'[15]FA working'!L30)/10^7)</f>
        <v>5.5762269959999999</v>
      </c>
      <c r="M20" s="1375">
        <f>(('[15]FA working'!M29+'[15]FA working'!M30)/10^7)</f>
        <v>2.6073383699999999</v>
      </c>
      <c r="N20" s="1375">
        <f>(('[15]FA working'!N29+'[15]FA working'!N30)/10^7)</f>
        <v>9.1765787589999999</v>
      </c>
      <c r="O20" s="1375">
        <f>(('[15]FA working'!O29+'[15]FA working'!O30)/10^7)</f>
        <v>1.122938706</v>
      </c>
      <c r="P20" s="1364">
        <f>SUM(C20:O20)</f>
        <v>2430.5244774789999</v>
      </c>
      <c r="Q20" s="1376">
        <f>'[15]FA working'!S29/10^7</f>
        <v>2.2127809900000002</v>
      </c>
      <c r="R20" s="1371">
        <f>+P20-Q20</f>
        <v>2428.311696489</v>
      </c>
      <c r="S20" s="1372">
        <f>+'[15]Note 1A'!E17+'[15]Note 1A'!D40</f>
        <v>259.43319575800001</v>
      </c>
      <c r="T20" s="1377">
        <f>+R20+S20</f>
        <v>2687.7448922470003</v>
      </c>
      <c r="U20" s="1348">
        <f>+'[15]balance sheet P&amp;L'!D90</f>
        <v>2687.7448922469998</v>
      </c>
      <c r="V20" s="1378">
        <f>+T20-U20</f>
        <v>0</v>
      </c>
      <c r="W20" s="1348">
        <f>+'[15]Asset history'!H17/10^7</f>
        <v>0</v>
      </c>
      <c r="X20" s="1367">
        <f>+V20+W20</f>
        <v>0</v>
      </c>
      <c r="CH20" s="1352"/>
    </row>
    <row r="21" spans="2:86" ht="15.75" x14ac:dyDescent="0.25">
      <c r="B21" s="1365" t="s">
        <v>2277</v>
      </c>
      <c r="C21" s="1375">
        <f>'[15]FA working'!C31/10^7</f>
        <v>0</v>
      </c>
      <c r="D21" s="1375">
        <f>'[15]FA working'!D31/10^7</f>
        <v>0</v>
      </c>
      <c r="E21" s="1375">
        <f>'[15]FA working'!E31/10^7</f>
        <v>7.7571899999999999E-2</v>
      </c>
      <c r="F21" s="1375">
        <f>'[15]FA working'!F31/10^7</f>
        <v>-5.1099286000000001E-2</v>
      </c>
      <c r="G21" s="1375">
        <f>'[15]FA working'!G31/10^7</f>
        <v>0</v>
      </c>
      <c r="H21" s="1375">
        <f>'[15]FA working'!H31/10^7</f>
        <v>0.10825700000000001</v>
      </c>
      <c r="I21" s="1375">
        <f>'[15]FA working'!I31/10^7</f>
        <v>0.96914660699999999</v>
      </c>
      <c r="J21" s="1375">
        <f>'[15]FA working'!J31/10^7</f>
        <v>0.15004986000000001</v>
      </c>
      <c r="K21" s="1375">
        <f>'[15]FA working'!K31/10^7</f>
        <v>2.3291380000000001E-3</v>
      </c>
      <c r="L21" s="1375">
        <f>'[15]FA working'!L31/10^7</f>
        <v>0</v>
      </c>
      <c r="M21" s="1375">
        <f>'[15]FA working'!M31/10^7</f>
        <v>0.16408749</v>
      </c>
      <c r="N21" s="1375">
        <f>'[15]FA working'!N31/10^7</f>
        <v>0.49855965999999985</v>
      </c>
      <c r="O21" s="1375">
        <f>'[15]FA working'!O31/10^7</f>
        <v>0</v>
      </c>
      <c r="P21" s="1364">
        <f>SUM(C21:O21)</f>
        <v>1.9189023689999996</v>
      </c>
      <c r="Q21" s="1376"/>
      <c r="R21" s="1375"/>
      <c r="V21" s="1349"/>
      <c r="X21" s="1367"/>
      <c r="CH21" s="1352"/>
    </row>
    <row r="22" spans="2:86" x14ac:dyDescent="0.25">
      <c r="B22" s="1298" t="str">
        <f>'[15]Statement of changes in equity'!$A$11</f>
        <v>As at 31.03.2024</v>
      </c>
      <c r="C22" s="1364">
        <f t="shared" ref="C22:P22" si="5">C19+C20-C21</f>
        <v>0</v>
      </c>
      <c r="D22" s="1364">
        <f t="shared" si="5"/>
        <v>40.573666764238936</v>
      </c>
      <c r="E22" s="1364">
        <f t="shared" si="5"/>
        <v>239.91843626945496</v>
      </c>
      <c r="F22" s="1364">
        <f t="shared" si="5"/>
        <v>533.80241586771092</v>
      </c>
      <c r="G22" s="1364">
        <f t="shared" si="5"/>
        <v>1179.4378728007118</v>
      </c>
      <c r="H22" s="1364">
        <f t="shared" si="5"/>
        <v>409.744602387268</v>
      </c>
      <c r="I22" s="1364">
        <f t="shared" si="5"/>
        <v>344.57155188859798</v>
      </c>
      <c r="J22" s="1364">
        <f t="shared" si="5"/>
        <v>16123.373188258312</v>
      </c>
      <c r="K22" s="1364">
        <f t="shared" si="5"/>
        <v>251.5000855644796</v>
      </c>
      <c r="L22" s="1364">
        <f t="shared" si="5"/>
        <v>16.832570038308059</v>
      </c>
      <c r="M22" s="1364">
        <f t="shared" si="5"/>
        <v>19.693834510049342</v>
      </c>
      <c r="N22" s="1364">
        <f t="shared" si="5"/>
        <v>42.017669416330101</v>
      </c>
      <c r="O22" s="1364">
        <f t="shared" si="5"/>
        <v>36.144343462999998</v>
      </c>
      <c r="P22" s="1364">
        <f t="shared" si="5"/>
        <v>19237.610237228462</v>
      </c>
      <c r="Q22" s="1376"/>
      <c r="R22" s="1375"/>
      <c r="V22" s="1349"/>
      <c r="X22" s="1367"/>
      <c r="CH22" s="1352"/>
    </row>
    <row r="23" spans="2:86" ht="15.75" x14ac:dyDescent="0.25">
      <c r="B23" s="1370" t="s">
        <v>2278</v>
      </c>
      <c r="C23" s="1375"/>
      <c r="D23" s="1375"/>
      <c r="E23" s="1375"/>
      <c r="F23" s="1375"/>
      <c r="G23" s="1375"/>
      <c r="H23" s="1375"/>
      <c r="I23" s="1375"/>
      <c r="J23" s="1375"/>
      <c r="K23" s="1375"/>
      <c r="L23" s="1375"/>
      <c r="M23" s="1375"/>
      <c r="N23" s="1375"/>
      <c r="O23" s="1375"/>
      <c r="P23" s="1379"/>
      <c r="Q23" s="1376"/>
      <c r="R23" s="1375"/>
      <c r="V23" s="1349"/>
      <c r="CH23" s="1352"/>
    </row>
    <row r="24" spans="2:86" ht="31.5" hidden="1" x14ac:dyDescent="0.25">
      <c r="B24" s="1380" t="s">
        <v>2279</v>
      </c>
      <c r="C24" s="1364"/>
      <c r="D24" s="1364"/>
      <c r="E24" s="1364"/>
      <c r="F24" s="1364"/>
      <c r="G24" s="1364"/>
      <c r="H24" s="1364"/>
      <c r="I24" s="1364"/>
      <c r="J24" s="1364"/>
      <c r="K24" s="1364"/>
      <c r="L24" s="1364"/>
      <c r="M24" s="1364"/>
      <c r="N24" s="1364"/>
      <c r="O24" s="1364"/>
      <c r="P24" s="1364"/>
      <c r="Q24" s="1364"/>
      <c r="R24" s="1364"/>
      <c r="V24" s="1349" t="s">
        <v>2280</v>
      </c>
      <c r="CH24" s="1352"/>
    </row>
    <row r="25" spans="2:86" ht="31.5" hidden="1" x14ac:dyDescent="0.25">
      <c r="B25" s="1380" t="s">
        <v>2281</v>
      </c>
      <c r="C25" s="1364"/>
      <c r="D25" s="1364"/>
      <c r="E25" s="1364"/>
      <c r="F25" s="1364"/>
      <c r="G25" s="1364"/>
      <c r="H25" s="1364"/>
      <c r="I25" s="1364"/>
      <c r="J25" s="1364"/>
      <c r="K25" s="1364"/>
      <c r="L25" s="1364"/>
      <c r="M25" s="1364"/>
      <c r="N25" s="1364"/>
      <c r="O25" s="1364"/>
      <c r="P25" s="1364"/>
      <c r="Q25" s="1364"/>
      <c r="R25" s="1364"/>
      <c r="S25" s="1367"/>
      <c r="T25" s="1352"/>
      <c r="U25" s="1366"/>
      <c r="V25" s="1349" t="s">
        <v>2282</v>
      </c>
      <c r="CH25" s="1352"/>
    </row>
    <row r="26" spans="2:86" x14ac:dyDescent="0.25">
      <c r="B26" s="1298" t="str">
        <f>'[15]Statement of changes in equity'!$A$5</f>
        <v>As on 31.03.2022</v>
      </c>
      <c r="C26" s="1364">
        <f t="shared" ref="C26:O26" si="6">C7-C16-C25</f>
        <v>1666.1285420889999</v>
      </c>
      <c r="D26" s="1364">
        <f t="shared" si="6"/>
        <v>74.934302650000006</v>
      </c>
      <c r="E26" s="1364">
        <f t="shared" si="6"/>
        <v>721.28774965400009</v>
      </c>
      <c r="F26" s="1364">
        <f t="shared" si="6"/>
        <v>740.50821342599897</v>
      </c>
      <c r="G26" s="1364">
        <f t="shared" si="6"/>
        <v>1718.4305243170011</v>
      </c>
      <c r="H26" s="1364">
        <f t="shared" si="6"/>
        <v>858.68701303699993</v>
      </c>
      <c r="I26" s="1364">
        <f t="shared" si="6"/>
        <v>931.67599367800017</v>
      </c>
      <c r="J26" s="1364">
        <f t="shared" si="6"/>
        <v>25602.007237094986</v>
      </c>
      <c r="K26" s="1364">
        <f t="shared" si="6"/>
        <v>350.06282414200018</v>
      </c>
      <c r="L26" s="1364">
        <f t="shared" si="6"/>
        <v>29.902747531000003</v>
      </c>
      <c r="M26" s="1364">
        <f t="shared" si="6"/>
        <v>21.171335921999987</v>
      </c>
      <c r="N26" s="1364">
        <f t="shared" si="6"/>
        <v>33.707212874999954</v>
      </c>
      <c r="O26" s="1364">
        <f t="shared" si="6"/>
        <v>26.220072040000009</v>
      </c>
      <c r="P26" s="1364">
        <f>SUM(C26:O26)</f>
        <v>32774.723768455988</v>
      </c>
      <c r="Q26" s="1364"/>
      <c r="R26" s="1364"/>
      <c r="S26" s="1381">
        <f>P26-'[15]balance sheet P&amp;L'!F6</f>
        <v>-6.0001184465363622E-7</v>
      </c>
      <c r="T26" s="1382"/>
      <c r="CH26" s="1352"/>
    </row>
    <row r="27" spans="2:86" ht="15.75" thickBot="1" x14ac:dyDescent="0.3">
      <c r="B27" s="1298" t="str">
        <f>'[15]Statement of changes in equity'!$A$9</f>
        <v>As at 31.03.2023</v>
      </c>
      <c r="C27" s="1364">
        <f>C10-C19</f>
        <v>1678.75171237</v>
      </c>
      <c r="D27" s="1364">
        <f t="shared" ref="D27:P27" si="7">D10-D19</f>
        <v>70.194197150000008</v>
      </c>
      <c r="E27" s="1364">
        <f t="shared" si="7"/>
        <v>684.35256344500021</v>
      </c>
      <c r="F27" s="1364">
        <f t="shared" si="7"/>
        <v>726.81056441599912</v>
      </c>
      <c r="G27" s="1364">
        <f t="shared" si="7"/>
        <v>1595.1659515730012</v>
      </c>
      <c r="H27" s="1364">
        <f t="shared" si="7"/>
        <v>861.1210655509999</v>
      </c>
      <c r="I27" s="1364">
        <f t="shared" si="7"/>
        <v>925.80202246000033</v>
      </c>
      <c r="J27" s="1364">
        <f t="shared" si="7"/>
        <v>24037.215081423987</v>
      </c>
      <c r="K27" s="1364">
        <f t="shared" si="7"/>
        <v>323.18555264200018</v>
      </c>
      <c r="L27" s="1364">
        <f t="shared" si="7"/>
        <v>46.110790826999995</v>
      </c>
      <c r="M27" s="1364">
        <f t="shared" si="7"/>
        <v>19.580548022999992</v>
      </c>
      <c r="N27" s="1364">
        <f t="shared" si="7"/>
        <v>40.90373617399996</v>
      </c>
      <c r="O27" s="1364">
        <f t="shared" si="7"/>
        <v>22.466208840000007</v>
      </c>
      <c r="P27" s="1364">
        <f t="shared" si="7"/>
        <v>31031.659994894992</v>
      </c>
      <c r="Q27" s="1383"/>
      <c r="R27" s="1364"/>
      <c r="S27" s="1384">
        <f>P27-'[15]balance sheet P&amp;L'!E6</f>
        <v>-7.0000896812416613E-7</v>
      </c>
      <c r="T27" s="1385"/>
      <c r="CH27" s="1352"/>
    </row>
    <row r="28" spans="2:86" x14ac:dyDescent="0.25">
      <c r="B28" s="1298" t="str">
        <f>'[15]Statement of changes in equity'!$A$11</f>
        <v>As at 31.03.2024</v>
      </c>
      <c r="C28" s="1364">
        <f t="shared" ref="C28:P28" si="8">+C13-C22</f>
        <v>1688.5052793699999</v>
      </c>
      <c r="D28" s="1364">
        <f t="shared" si="8"/>
        <v>77.657378170000001</v>
      </c>
      <c r="E28" s="1364">
        <f t="shared" si="8"/>
        <v>648.2857186990002</v>
      </c>
      <c r="F28" s="1364">
        <f t="shared" si="8"/>
        <v>716.2621808579994</v>
      </c>
      <c r="G28" s="1364">
        <f t="shared" si="8"/>
        <v>1524.7696536460012</v>
      </c>
      <c r="H28" s="1364">
        <f t="shared" si="8"/>
        <v>818.12114843699987</v>
      </c>
      <c r="I28" s="1364">
        <f t="shared" si="8"/>
        <v>952.36874767400036</v>
      </c>
      <c r="J28" s="1364">
        <f t="shared" si="8"/>
        <v>22395.334426905985</v>
      </c>
      <c r="K28" s="1364">
        <f t="shared" si="8"/>
        <v>299.1723101800003</v>
      </c>
      <c r="L28" s="1364">
        <f t="shared" si="8"/>
        <v>52.611073116</v>
      </c>
      <c r="M28" s="1364">
        <f t="shared" si="8"/>
        <v>18.448312705999989</v>
      </c>
      <c r="N28" s="1364">
        <f t="shared" si="8"/>
        <v>40.507422442999946</v>
      </c>
      <c r="O28" s="1364">
        <f t="shared" si="8"/>
        <v>21.343270134000008</v>
      </c>
      <c r="P28" s="1364">
        <f t="shared" si="8"/>
        <v>29253.386922338981</v>
      </c>
      <c r="Q28" s="1383"/>
      <c r="R28" s="1364"/>
      <c r="S28" s="1384">
        <f>P28-'[15]balance sheet P&amp;L'!D6</f>
        <v>-7.0001624408178031E-7</v>
      </c>
      <c r="CH28" s="1352"/>
    </row>
    <row r="29" spans="2:86" s="1390" customFormat="1" x14ac:dyDescent="0.25">
      <c r="B29" s="1386"/>
      <c r="C29" s="1387">
        <f>'[15]Balance sheet groupings'!C9</f>
        <v>1688.5052793700002</v>
      </c>
      <c r="D29" s="1387">
        <f>'[15]Balance sheet groupings'!$C$10-'[15]Balance sheet groupings'!$C$28</f>
        <v>77.657378170000015</v>
      </c>
      <c r="E29" s="1387">
        <f>'[15]Balance sheet groupings'!$C$11-'[15]Balance sheet groupings'!$C$29</f>
        <v>648.28571869899997</v>
      </c>
      <c r="F29" s="1387">
        <f>'[15]Balance sheet groupings'!$C$12-'[15]Balance sheet groupings'!$C$30</f>
        <v>716.26218085799997</v>
      </c>
      <c r="G29" s="1387">
        <f>'[15]Balance sheet groupings'!$C$13-'[15]Balance sheet groupings'!$C$31</f>
        <v>1524.7696536459994</v>
      </c>
      <c r="H29" s="1387">
        <f>'[15]Balance sheet groupings'!$C$14-'[15]Balance sheet groupings'!$C$32</f>
        <v>818.12114843699987</v>
      </c>
      <c r="I29" s="1387">
        <f>'[15]Balance sheet groupings'!$C$15-'[15]Balance sheet groupings'!$C$33</f>
        <v>952.36874767400002</v>
      </c>
      <c r="J29" s="1387">
        <f>'[15]Balance sheet groupings'!$C$16-'[15]Balance sheet groupings'!$C$34</f>
        <v>22395.334425606001</v>
      </c>
      <c r="K29" s="1387">
        <f>'[15]Balance sheet groupings'!$C$19-'[15]Balance sheet groupings'!$C$37</f>
        <v>299.17231017999984</v>
      </c>
      <c r="L29" s="1387">
        <f>'[15]Balance sheet groupings'!$C$20-'[15]Balance sheet groupings'!$C$38</f>
        <v>52.611073116</v>
      </c>
      <c r="M29" s="1387">
        <f>'[15]Balance sheet groupings'!$C$21-'[15]Balance sheet groupings'!$C$39</f>
        <v>18.448312705999996</v>
      </c>
      <c r="N29" s="1387">
        <f>'[15]Balance sheet groupings'!$C$22-'[15]Balance sheet groupings'!$C$40</f>
        <v>40.507422443000003</v>
      </c>
      <c r="O29" s="1387">
        <f>'[15]Balance sheet groupings'!$C$23-'[15]Balance sheet groupings'!$C$41</f>
        <v>21.343270133999994</v>
      </c>
      <c r="P29" s="1387">
        <f>'[15]Balance sheet groupings'!$C$26-'[15]Balance sheet groupings'!$C$43</f>
        <v>29253.386923038997</v>
      </c>
      <c r="Q29" s="1388"/>
      <c r="R29" s="1389"/>
      <c r="T29" s="1391"/>
      <c r="U29" s="1391"/>
      <c r="V29" s="1391"/>
      <c r="W29" s="1391"/>
      <c r="X29" s="1391"/>
      <c r="AA29" s="1392"/>
      <c r="AB29" s="1392"/>
      <c r="AC29" s="1392"/>
      <c r="AD29" s="1392"/>
      <c r="AE29" s="1392"/>
      <c r="AF29" s="1392"/>
      <c r="AG29" s="1392"/>
      <c r="AH29" s="1392"/>
      <c r="AI29" s="1392"/>
      <c r="AJ29" s="1392"/>
      <c r="AK29" s="1392"/>
      <c r="AL29" s="1392"/>
      <c r="AM29" s="1392"/>
      <c r="AN29" s="1392"/>
      <c r="AO29" s="1392"/>
      <c r="AP29" s="1392"/>
      <c r="AQ29" s="1392"/>
      <c r="AR29" s="1392"/>
      <c r="AS29" s="1392"/>
      <c r="AT29" s="1392"/>
      <c r="AU29" s="1392"/>
      <c r="AV29" s="1392"/>
      <c r="AW29" s="1392"/>
      <c r="AX29" s="1392"/>
      <c r="AY29" s="1392"/>
      <c r="AZ29" s="1392"/>
      <c r="BA29" s="1392"/>
      <c r="BB29" s="1392"/>
      <c r="BC29" s="1392"/>
      <c r="BD29" s="1392"/>
      <c r="BE29" s="1392"/>
      <c r="BF29" s="1392"/>
      <c r="BG29" s="1392"/>
      <c r="BH29" s="1392"/>
      <c r="BI29" s="1392"/>
      <c r="BJ29" s="1392"/>
      <c r="BK29" s="1392"/>
      <c r="BL29" s="1392"/>
      <c r="BM29" s="1392"/>
      <c r="BN29" s="1392"/>
      <c r="BO29" s="1392"/>
      <c r="BP29" s="1392"/>
      <c r="BQ29" s="1392"/>
      <c r="BR29" s="1392"/>
      <c r="BS29" s="1392"/>
      <c r="BT29" s="1392"/>
      <c r="BU29" s="1392"/>
      <c r="BV29" s="1392"/>
      <c r="BW29" s="1392"/>
      <c r="BX29" s="1392"/>
      <c r="BY29" s="1392"/>
      <c r="BZ29" s="1392"/>
      <c r="CA29" s="1392"/>
      <c r="CB29" s="1392"/>
      <c r="CC29" s="1392"/>
      <c r="CD29" s="1392"/>
      <c r="CE29" s="1392"/>
      <c r="CF29" s="1392"/>
      <c r="CG29" s="1392"/>
      <c r="CH29" s="1393"/>
    </row>
    <row r="30" spans="2:86" s="1390" customFormat="1" x14ac:dyDescent="0.25">
      <c r="B30" s="2006" t="s">
        <v>2283</v>
      </c>
      <c r="C30" s="2007"/>
      <c r="D30" s="2007"/>
      <c r="E30" s="2007"/>
      <c r="F30" s="2007"/>
      <c r="G30" s="2007"/>
      <c r="H30" s="2007"/>
      <c r="I30" s="2007"/>
      <c r="J30" s="2007"/>
      <c r="K30" s="2007"/>
      <c r="L30" s="2007"/>
      <c r="M30" s="2007"/>
      <c r="N30" s="2007"/>
      <c r="O30" s="2007"/>
      <c r="P30" s="2007"/>
      <c r="Q30" s="2007"/>
      <c r="R30" s="2008"/>
      <c r="AA30" s="1392"/>
      <c r="AB30" s="1392"/>
      <c r="AC30" s="1392"/>
      <c r="AD30" s="1392"/>
      <c r="AE30" s="1392"/>
      <c r="AF30" s="1392"/>
      <c r="AG30" s="1392"/>
      <c r="AH30" s="1392"/>
      <c r="AI30" s="1392"/>
      <c r="AJ30" s="1392"/>
      <c r="AK30" s="1392"/>
      <c r="AL30" s="1392"/>
      <c r="AM30" s="1392"/>
      <c r="AN30" s="1392"/>
      <c r="AO30" s="1392"/>
      <c r="AP30" s="1392"/>
      <c r="AQ30" s="1392"/>
      <c r="AR30" s="1392"/>
      <c r="AS30" s="1392"/>
      <c r="AT30" s="1392"/>
      <c r="AU30" s="1392"/>
      <c r="AV30" s="1392"/>
      <c r="AW30" s="1392"/>
      <c r="AX30" s="1392"/>
      <c r="AY30" s="1392"/>
      <c r="AZ30" s="1392"/>
      <c r="BA30" s="1392"/>
      <c r="BB30" s="1392"/>
      <c r="BC30" s="1392"/>
      <c r="BD30" s="1392"/>
      <c r="BE30" s="1392"/>
      <c r="BF30" s="1392"/>
      <c r="BG30" s="1392"/>
      <c r="BH30" s="1392"/>
      <c r="BI30" s="1392"/>
      <c r="BJ30" s="1392"/>
      <c r="BK30" s="1392"/>
      <c r="BL30" s="1392"/>
      <c r="BM30" s="1392"/>
      <c r="BN30" s="1392"/>
      <c r="BO30" s="1392"/>
      <c r="BP30" s="1392"/>
      <c r="BQ30" s="1392"/>
      <c r="BR30" s="1392"/>
      <c r="BS30" s="1392"/>
      <c r="BT30" s="1392"/>
      <c r="BU30" s="1392"/>
      <c r="BV30" s="1392"/>
      <c r="BW30" s="1392"/>
      <c r="BX30" s="1392"/>
      <c r="BY30" s="1392"/>
      <c r="BZ30" s="1392"/>
      <c r="CA30" s="1392"/>
      <c r="CB30" s="1392"/>
      <c r="CC30" s="1392"/>
      <c r="CD30" s="1392"/>
      <c r="CE30" s="1392"/>
      <c r="CF30" s="1392"/>
      <c r="CG30" s="1392"/>
    </row>
    <row r="31" spans="2:86" s="1398" customFormat="1" x14ac:dyDescent="0.25">
      <c r="B31" s="1394" t="s">
        <v>2284</v>
      </c>
      <c r="C31" s="1395"/>
      <c r="D31" s="1395"/>
      <c r="E31" s="1395"/>
      <c r="F31" s="1395"/>
      <c r="G31" s="1395"/>
      <c r="H31" s="1395"/>
      <c r="I31" s="1395"/>
      <c r="J31" s="1395"/>
      <c r="K31" s="1395"/>
      <c r="L31" s="1395"/>
      <c r="M31" s="1395"/>
      <c r="N31" s="1395"/>
      <c r="O31" s="1395"/>
      <c r="P31" s="1396"/>
      <c r="Q31" s="1395"/>
      <c r="R31" s="1397"/>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c r="BV31" s="243"/>
      <c r="BW31" s="243"/>
      <c r="BX31" s="243"/>
      <c r="BY31" s="243"/>
      <c r="BZ31" s="243"/>
      <c r="CA31" s="243"/>
      <c r="CB31" s="243"/>
      <c r="CC31" s="243"/>
      <c r="CD31" s="243"/>
      <c r="CE31" s="243"/>
      <c r="CF31" s="243"/>
      <c r="CG31" s="243"/>
    </row>
    <row r="36" spans="12:14" x14ac:dyDescent="0.25">
      <c r="L36" s="1399"/>
      <c r="M36" s="1285"/>
    </row>
    <row r="37" spans="12:14" x14ac:dyDescent="0.25">
      <c r="L37" s="1399"/>
      <c r="M37" s="1400"/>
    </row>
    <row r="44" spans="12:14" x14ac:dyDescent="0.25">
      <c r="N44" t="s">
        <v>2285</v>
      </c>
    </row>
  </sheetData>
  <mergeCells count="17">
    <mergeCell ref="B30:R30"/>
    <mergeCell ref="M5:M6"/>
    <mergeCell ref="N5:N6"/>
    <mergeCell ref="O5:O6"/>
    <mergeCell ref="P5:P6"/>
    <mergeCell ref="Q5:Q6"/>
    <mergeCell ref="R5:R6"/>
    <mergeCell ref="C3:E3"/>
    <mergeCell ref="B4:B6"/>
    <mergeCell ref="Q4:R4"/>
    <mergeCell ref="C5:D5"/>
    <mergeCell ref="E5:F5"/>
    <mergeCell ref="G5:G6"/>
    <mergeCell ref="H5:I5"/>
    <mergeCell ref="J5:J6"/>
    <mergeCell ref="K5:K6"/>
    <mergeCell ref="L5:L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G85"/>
  <sheetViews>
    <sheetView topLeftCell="A13" workbookViewId="0">
      <selection sqref="A1:XFD1048576"/>
    </sheetView>
  </sheetViews>
  <sheetFormatPr defaultRowHeight="12.75" x14ac:dyDescent="0.2"/>
  <cols>
    <col min="1" max="1" width="2.5703125" customWidth="1"/>
    <col min="2" max="2" width="44.28515625" customWidth="1"/>
    <col min="3" max="3" width="22.5703125" customWidth="1"/>
    <col min="4" max="4" width="21.140625" customWidth="1"/>
    <col min="5" max="5" width="19.7109375" customWidth="1"/>
    <col min="11" max="11" width="6.140625" customWidth="1"/>
    <col min="12" max="12" width="15.42578125" bestFit="1" customWidth="1"/>
    <col min="13" max="13" width="16.42578125" customWidth="1"/>
    <col min="14" max="14" width="9.5703125" bestFit="1" customWidth="1"/>
    <col min="15" max="15" width="11.5703125" bestFit="1" customWidth="1"/>
    <col min="16" max="16" width="19.140625" bestFit="1" customWidth="1"/>
  </cols>
  <sheetData>
    <row r="1" spans="2:85" ht="15.75" x14ac:dyDescent="0.2">
      <c r="B1" s="1401" t="s">
        <v>2286</v>
      </c>
      <c r="C1" s="1402"/>
      <c r="D1" s="1402"/>
      <c r="E1" s="1201"/>
    </row>
    <row r="2" spans="2:85" s="1348" customFormat="1" ht="15.75" x14ac:dyDescent="0.25">
      <c r="B2" s="1403" t="s">
        <v>2287</v>
      </c>
      <c r="C2" s="1404" t="s">
        <v>547</v>
      </c>
      <c r="D2" s="1405"/>
      <c r="E2" s="1347"/>
      <c r="F2" s="1352"/>
      <c r="G2" s="1352"/>
      <c r="H2" s="1352"/>
      <c r="I2" s="1352"/>
      <c r="J2" s="1352"/>
      <c r="O2" s="1352"/>
      <c r="P2" s="1406"/>
      <c r="Q2" s="1406"/>
      <c r="R2" s="1407"/>
      <c r="S2" s="1382"/>
      <c r="T2" s="1382"/>
      <c r="U2" s="1382"/>
      <c r="W2" s="1382"/>
      <c r="BQ2" s="1352"/>
      <c r="BR2" s="1352"/>
      <c r="BS2" s="1352"/>
      <c r="BT2" s="1352"/>
      <c r="BU2" s="1352"/>
      <c r="BV2" s="1352"/>
      <c r="BW2" s="1352"/>
      <c r="BX2" s="1352"/>
      <c r="BY2" s="1352"/>
      <c r="BZ2" s="1352"/>
      <c r="CA2" s="1352" t="e">
        <f>#REF!-'[15]Consolidated FA'!CM6</f>
        <v>#REF!</v>
      </c>
      <c r="CB2" s="1352" t="e">
        <f>#REF!-'[15]Consolidated FA'!CM4</f>
        <v>#REF!</v>
      </c>
      <c r="CC2" s="1352" t="e">
        <f>#REF!-'[15]Consolidated FA'!CM2</f>
        <v>#REF!</v>
      </c>
      <c r="CD2" s="1352" t="e">
        <f>+'[15]Consolidated FA'!CM8-#REF!</f>
        <v>#REF!</v>
      </c>
      <c r="CE2" s="1352"/>
      <c r="CF2" s="1352"/>
      <c r="CG2" s="1352"/>
    </row>
    <row r="3" spans="2:85" s="1348" customFormat="1" ht="15.75" customHeight="1" x14ac:dyDescent="0.25">
      <c r="B3" s="1408" t="s">
        <v>2254</v>
      </c>
      <c r="C3" s="1409" t="s">
        <v>2288</v>
      </c>
      <c r="D3" s="1409" t="s">
        <v>2289</v>
      </c>
      <c r="E3" s="1408" t="s">
        <v>1908</v>
      </c>
      <c r="G3" s="1410"/>
      <c r="H3" s="1410"/>
      <c r="I3" s="1352"/>
      <c r="N3" s="1410"/>
      <c r="O3" s="1406"/>
      <c r="P3" s="1406"/>
      <c r="Q3" s="1407"/>
      <c r="R3" s="1382"/>
      <c r="S3" s="1382"/>
      <c r="T3" s="1382"/>
      <c r="U3" s="1382"/>
      <c r="V3" s="1382"/>
      <c r="W3" s="1382"/>
      <c r="X3" s="1382"/>
      <c r="BP3" s="1352"/>
      <c r="BQ3" s="1352"/>
      <c r="BR3" s="1352"/>
      <c r="BS3" s="1352"/>
      <c r="BT3" s="1352"/>
      <c r="BU3" s="1352"/>
      <c r="BV3" s="1352"/>
      <c r="BW3" s="1352"/>
      <c r="BX3" s="1352"/>
      <c r="BY3" s="1352"/>
      <c r="BZ3" s="1352"/>
      <c r="CA3" s="1352"/>
      <c r="CB3" s="1352"/>
      <c r="CC3" s="1352"/>
      <c r="CD3" s="1352"/>
      <c r="CE3" s="1352"/>
      <c r="CF3" s="1352"/>
    </row>
    <row r="4" spans="2:85" s="1348" customFormat="1" ht="15.75" x14ac:dyDescent="0.25">
      <c r="B4" s="1411" t="s">
        <v>2290</v>
      </c>
      <c r="C4" s="1412"/>
      <c r="D4" s="1412"/>
      <c r="E4" s="1413"/>
      <c r="G4" s="1410"/>
      <c r="H4" s="1410"/>
      <c r="I4" s="1352"/>
      <c r="N4" s="1410"/>
      <c r="O4" s="1406"/>
      <c r="P4" s="1406"/>
      <c r="R4" s="1382"/>
      <c r="T4" s="1382"/>
      <c r="V4" s="1382"/>
      <c r="BP4" s="1352"/>
      <c r="BQ4" s="1352"/>
      <c r="BR4" s="1352"/>
      <c r="BS4" s="1352"/>
      <c r="BT4" s="1352"/>
      <c r="BU4" s="1352"/>
      <c r="BV4" s="1352"/>
      <c r="BW4" s="1352"/>
      <c r="BX4" s="1352"/>
      <c r="BY4" s="1352"/>
      <c r="BZ4" s="1352"/>
      <c r="CA4" s="1352"/>
      <c r="CB4" s="1352"/>
      <c r="CC4" s="1352"/>
      <c r="CD4" s="1352"/>
      <c r="CE4" s="1352"/>
      <c r="CF4" s="1352"/>
    </row>
    <row r="5" spans="2:85" s="1348" customFormat="1" ht="15.75" x14ac:dyDescent="0.25">
      <c r="B5" s="1414" t="str">
        <f>'[15]Statement of changes in equity'!$A$5</f>
        <v>As on 31.03.2022</v>
      </c>
      <c r="C5" s="1415">
        <v>113.13200449999999</v>
      </c>
      <c r="D5" s="1415">
        <v>4326.5148134999999</v>
      </c>
      <c r="E5" s="1416">
        <v>4439.6468180000002</v>
      </c>
      <c r="G5" s="1410"/>
      <c r="H5" s="1410"/>
      <c r="I5" s="1352"/>
      <c r="N5" s="1410"/>
      <c r="O5" s="1406"/>
      <c r="P5" s="1406"/>
      <c r="Q5" s="1407"/>
      <c r="R5" s="1352"/>
      <c r="U5" s="1382"/>
      <c r="V5" s="1382"/>
      <c r="BP5" s="1352"/>
      <c r="BQ5" s="1352"/>
      <c r="BR5" s="1352"/>
      <c r="BS5" s="1352"/>
      <c r="BT5" s="1352"/>
      <c r="BU5" s="1352"/>
      <c r="BV5" s="1352"/>
      <c r="BW5" s="1352"/>
      <c r="BX5" s="1352"/>
      <c r="BY5" s="1352"/>
      <c r="BZ5" s="1352"/>
      <c r="CA5" s="1352"/>
      <c r="CB5" s="1352"/>
      <c r="CC5" s="1352"/>
      <c r="CD5" s="1352"/>
      <c r="CE5" s="1352"/>
      <c r="CF5" s="1352"/>
    </row>
    <row r="6" spans="2:85" s="1348" customFormat="1" ht="15" x14ac:dyDescent="0.25">
      <c r="B6" s="1411" t="s">
        <v>58</v>
      </c>
      <c r="C6" s="1415">
        <v>0</v>
      </c>
      <c r="D6" s="1417">
        <v>0</v>
      </c>
      <c r="E6" s="1416">
        <f>'[15]FA working'!R11/10^7</f>
        <v>0</v>
      </c>
      <c r="G6" s="1418"/>
      <c r="H6" s="1418"/>
      <c r="I6" s="1352"/>
      <c r="N6" s="1418"/>
      <c r="O6" s="1352"/>
      <c r="P6" s="1352"/>
      <c r="V6" s="1382"/>
      <c r="BP6" s="1352"/>
      <c r="BQ6" s="1352"/>
      <c r="BR6" s="1352"/>
      <c r="BS6" s="1352"/>
      <c r="BT6" s="1352"/>
      <c r="BU6" s="1352"/>
      <c r="BV6" s="1352"/>
      <c r="BW6" s="1352"/>
      <c r="BX6" s="1352"/>
      <c r="BY6" s="1352"/>
      <c r="BZ6" s="1352"/>
      <c r="CA6" s="1352"/>
      <c r="CB6" s="1352"/>
      <c r="CC6" s="1352"/>
      <c r="CD6" s="1352"/>
      <c r="CE6" s="1352"/>
      <c r="CF6" s="1352"/>
    </row>
    <row r="7" spans="2:85" s="1348" customFormat="1" ht="15" x14ac:dyDescent="0.25">
      <c r="B7" s="1411" t="s">
        <v>2275</v>
      </c>
      <c r="C7" s="1412">
        <v>0</v>
      </c>
      <c r="D7" s="1417">
        <v>0</v>
      </c>
      <c r="E7" s="1413">
        <f>'[15]FA working'!R12/10^7</f>
        <v>0</v>
      </c>
      <c r="G7" s="1418"/>
      <c r="H7" s="1418"/>
      <c r="I7" s="1352"/>
      <c r="N7" s="1418"/>
      <c r="O7" s="1352"/>
      <c r="P7" s="1352"/>
      <c r="Q7" s="1407"/>
      <c r="W7" s="1382"/>
      <c r="BP7" s="1352"/>
      <c r="BQ7" s="1352"/>
      <c r="BR7" s="1352"/>
      <c r="BS7" s="1352"/>
      <c r="BT7" s="1352"/>
      <c r="BU7" s="1352"/>
      <c r="BV7" s="1352"/>
      <c r="BW7" s="1352"/>
      <c r="BX7" s="1352"/>
      <c r="BY7" s="1352"/>
      <c r="BZ7" s="1352"/>
      <c r="CA7" s="1352"/>
      <c r="CB7" s="1352"/>
      <c r="CC7" s="1352"/>
      <c r="CD7" s="1352"/>
      <c r="CE7" s="1352"/>
      <c r="CF7" s="1352"/>
    </row>
    <row r="8" spans="2:85" s="1348" customFormat="1" ht="15" x14ac:dyDescent="0.25">
      <c r="B8" s="1414" t="str">
        <f>'[15]Statement of changes in equity'!$A$9</f>
        <v>As at 31.03.2023</v>
      </c>
      <c r="C8" s="1419">
        <f>C5+C6-C7</f>
        <v>113.13200449999999</v>
      </c>
      <c r="D8" s="1419">
        <f>D5+D6-D7</f>
        <v>4326.5148134999999</v>
      </c>
      <c r="E8" s="1420">
        <f>E5+E6-E7</f>
        <v>4439.6468180000002</v>
      </c>
      <c r="G8" s="1418"/>
      <c r="H8" s="1418"/>
      <c r="I8" s="1352"/>
      <c r="N8" s="1418"/>
      <c r="O8" s="1352"/>
      <c r="P8" s="1352"/>
      <c r="Q8" s="1407"/>
      <c r="T8" s="1421"/>
      <c r="U8" s="1382"/>
      <c r="V8" s="1382"/>
      <c r="BP8" s="1352"/>
      <c r="BQ8" s="1352"/>
      <c r="BR8" s="1352"/>
      <c r="BS8" s="1352"/>
      <c r="BT8" s="1352"/>
      <c r="BU8" s="1352"/>
      <c r="BV8" s="1352"/>
      <c r="BW8" s="1352"/>
      <c r="BX8" s="1352"/>
      <c r="BY8" s="1352"/>
      <c r="BZ8" s="1352"/>
      <c r="CA8" s="1352"/>
      <c r="CB8" s="1352"/>
      <c r="CC8" s="1352"/>
      <c r="CD8" s="1352"/>
      <c r="CE8" s="1352"/>
      <c r="CF8" s="1352"/>
    </row>
    <row r="9" spans="2:85" s="1348" customFormat="1" ht="15" x14ac:dyDescent="0.25">
      <c r="B9" s="1411" t="s">
        <v>58</v>
      </c>
      <c r="C9" s="1417">
        <f>1264913624/10000000</f>
        <v>126.4913624</v>
      </c>
      <c r="D9" s="1417">
        <f>+E9-C9</f>
        <v>0</v>
      </c>
      <c r="E9" s="1422">
        <f>'[15]FA working'!R16/10^7</f>
        <v>126.4913624</v>
      </c>
      <c r="G9" s="1418"/>
      <c r="H9" s="1418"/>
      <c r="I9" s="1352"/>
      <c r="N9" s="1418"/>
      <c r="O9" s="1352"/>
      <c r="P9" s="1352"/>
      <c r="Q9" s="1407"/>
      <c r="V9" s="1374"/>
      <c r="BP9" s="1352"/>
      <c r="BQ9" s="1352"/>
      <c r="BR9" s="1352"/>
      <c r="BS9" s="1352"/>
      <c r="BT9" s="1352"/>
      <c r="BU9" s="1352"/>
      <c r="BV9" s="1352"/>
      <c r="BW9" s="1352"/>
      <c r="BX9" s="1352"/>
      <c r="BY9" s="1352"/>
      <c r="BZ9" s="1352"/>
      <c r="CA9" s="1352"/>
      <c r="CB9" s="1352"/>
      <c r="CC9" s="1352"/>
      <c r="CD9" s="1352"/>
      <c r="CE9" s="1352"/>
      <c r="CF9" s="1352"/>
    </row>
    <row r="10" spans="2:85" s="1348" customFormat="1" ht="15" x14ac:dyDescent="0.25">
      <c r="B10" s="1411" t="s">
        <v>2275</v>
      </c>
      <c r="C10" s="1417">
        <v>0</v>
      </c>
      <c r="D10" s="1417">
        <v>0</v>
      </c>
      <c r="E10" s="1422">
        <f>'[15]FA working'!R17/10^7</f>
        <v>0</v>
      </c>
      <c r="G10" s="1418"/>
      <c r="H10" s="1418"/>
      <c r="I10" s="1423"/>
      <c r="N10" s="1418"/>
      <c r="O10" s="1352"/>
      <c r="P10" s="1352"/>
      <c r="Q10" s="1407"/>
      <c r="T10" s="1382"/>
      <c r="U10" s="1382"/>
      <c r="V10" s="1374"/>
      <c r="BP10" s="1352"/>
      <c r="BQ10" s="1352"/>
      <c r="BR10" s="1352"/>
      <c r="BS10" s="1352"/>
      <c r="BT10" s="1352"/>
      <c r="BU10" s="1352"/>
      <c r="BV10" s="1352"/>
      <c r="BW10" s="1352"/>
      <c r="BX10" s="1352"/>
      <c r="BY10" s="1352"/>
      <c r="BZ10" s="1352"/>
      <c r="CA10" s="1352"/>
      <c r="CB10" s="1352"/>
      <c r="CC10" s="1352"/>
      <c r="CD10" s="1352"/>
      <c r="CE10" s="1352"/>
      <c r="CF10" s="1352"/>
    </row>
    <row r="11" spans="2:85" s="1348" customFormat="1" ht="15" x14ac:dyDescent="0.25">
      <c r="B11" s="1414" t="str">
        <f>'[15]Statement of changes in equity'!$A$11</f>
        <v>As at 31.03.2024</v>
      </c>
      <c r="C11" s="1424">
        <f>C8+C9-C10</f>
        <v>239.62336690000001</v>
      </c>
      <c r="D11" s="1424">
        <f>D8+D9-D10</f>
        <v>4326.5148134999999</v>
      </c>
      <c r="E11" s="1425">
        <f>E8+E9-E10</f>
        <v>4566.1381804000002</v>
      </c>
      <c r="G11" s="1418"/>
      <c r="H11" s="1418"/>
      <c r="I11" s="1352"/>
      <c r="N11" s="1418"/>
      <c r="O11" s="1352"/>
      <c r="P11" s="1352"/>
      <c r="V11" s="1366"/>
      <c r="BP11" s="1352"/>
      <c r="BQ11" s="1352"/>
      <c r="BR11" s="1352"/>
      <c r="BS11" s="1352"/>
      <c r="BT11" s="1352"/>
      <c r="BU11" s="1352"/>
      <c r="BV11" s="1352"/>
      <c r="BW11" s="1352"/>
      <c r="BX11" s="1352"/>
      <c r="BY11" s="1352"/>
      <c r="BZ11" s="1352"/>
      <c r="CA11" s="1352"/>
      <c r="CB11" s="1352"/>
      <c r="CC11" s="1352"/>
      <c r="CD11" s="1352"/>
      <c r="CE11" s="1352"/>
      <c r="CF11" s="1352"/>
    </row>
    <row r="12" spans="2:85" s="1348" customFormat="1" ht="15" x14ac:dyDescent="0.25">
      <c r="B12" s="1411" t="s">
        <v>2291</v>
      </c>
      <c r="C12" s="1412"/>
      <c r="D12" s="1412"/>
      <c r="E12" s="1413"/>
      <c r="G12" s="1418"/>
      <c r="H12" s="1418"/>
      <c r="I12" s="1352"/>
      <c r="N12" s="1418"/>
      <c r="O12" s="1352"/>
      <c r="P12" s="1352"/>
      <c r="BP12" s="1352"/>
      <c r="BQ12" s="1352"/>
      <c r="BR12" s="1352"/>
      <c r="BS12" s="1352"/>
      <c r="BT12" s="1352"/>
      <c r="BU12" s="1352"/>
      <c r="BV12" s="1352"/>
      <c r="BW12" s="1352"/>
      <c r="BX12" s="1352"/>
      <c r="BY12" s="1352"/>
      <c r="BZ12" s="1352"/>
      <c r="CA12" s="1352"/>
      <c r="CB12" s="1352"/>
      <c r="CC12" s="1352"/>
      <c r="CD12" s="1352"/>
      <c r="CE12" s="1352"/>
      <c r="CF12" s="1352"/>
    </row>
    <row r="13" spans="2:85" s="1348" customFormat="1" ht="15" x14ac:dyDescent="0.25">
      <c r="B13" s="1414" t="str">
        <f>'[15]Statement of changes in equity'!$A$5</f>
        <v>As on 31.03.2022</v>
      </c>
      <c r="C13" s="1426">
        <v>73.740558899999996</v>
      </c>
      <c r="D13" s="1415">
        <f>+E13-C13</f>
        <v>692.84636139999998</v>
      </c>
      <c r="E13" s="1427">
        <f>'[15]FA working'!R23/10^7</f>
        <v>766.58692029999997</v>
      </c>
      <c r="G13" s="1418"/>
      <c r="H13" s="1418"/>
      <c r="I13" s="1352"/>
      <c r="N13" s="1418"/>
      <c r="O13" s="1352"/>
      <c r="P13" s="1352"/>
      <c r="V13" s="1352"/>
      <c r="BP13" s="1352"/>
      <c r="BQ13" s="1352"/>
      <c r="BR13" s="1352"/>
      <c r="BS13" s="1352"/>
      <c r="BT13" s="1352"/>
      <c r="BU13" s="1352"/>
      <c r="BV13" s="1352"/>
      <c r="BW13" s="1352"/>
      <c r="BX13" s="1352"/>
      <c r="BY13" s="1352"/>
      <c r="BZ13" s="1352"/>
      <c r="CA13" s="1352"/>
      <c r="CB13" s="1352"/>
      <c r="CC13" s="1352"/>
      <c r="CD13" s="1352"/>
      <c r="CE13" s="1352"/>
      <c r="CF13" s="1352"/>
    </row>
    <row r="14" spans="2:85" s="1348" customFormat="1" ht="15" x14ac:dyDescent="0.25">
      <c r="B14" s="1411" t="s">
        <v>58</v>
      </c>
      <c r="C14" s="1412">
        <v>24.580186300000001</v>
      </c>
      <c r="D14" s="1415">
        <f>+E14-C14</f>
        <v>229.24232799999999</v>
      </c>
      <c r="E14" s="1413">
        <f>('[15]FA working'!R24+'[15]FA working'!R25)/10^7</f>
        <v>253.82251429999999</v>
      </c>
      <c r="G14" s="1418"/>
      <c r="H14" s="1418"/>
      <c r="I14" s="1352"/>
      <c r="N14" s="1418"/>
      <c r="O14" s="1352"/>
      <c r="P14" s="1352"/>
      <c r="BP14" s="1352"/>
      <c r="BQ14" s="1352"/>
      <c r="BR14" s="1352"/>
      <c r="BS14" s="1352"/>
      <c r="BT14" s="1352"/>
      <c r="BU14" s="1352"/>
      <c r="BV14" s="1352"/>
      <c r="BW14" s="1352"/>
      <c r="BX14" s="1352"/>
      <c r="BY14" s="1352"/>
      <c r="BZ14" s="1352"/>
      <c r="CA14" s="1352"/>
      <c r="CB14" s="1352"/>
      <c r="CC14" s="1352"/>
      <c r="CD14" s="1352"/>
      <c r="CE14" s="1352"/>
      <c r="CF14" s="1352"/>
    </row>
    <row r="15" spans="2:85" s="1348" customFormat="1" ht="15" x14ac:dyDescent="0.25">
      <c r="B15" s="1411" t="s">
        <v>2275</v>
      </c>
      <c r="C15" s="1412">
        <v>0</v>
      </c>
      <c r="D15" s="1428">
        <f>+E15-C15</f>
        <v>0</v>
      </c>
      <c r="E15" s="1413">
        <f>'[15]FA working'!R26/10^7</f>
        <v>0</v>
      </c>
      <c r="G15" s="1418"/>
      <c r="H15" s="1418"/>
      <c r="I15" s="1352"/>
      <c r="N15" s="1418"/>
      <c r="O15" s="1352"/>
      <c r="P15" s="1352"/>
      <c r="BP15" s="1352"/>
      <c r="BQ15" s="1352"/>
      <c r="BR15" s="1352"/>
      <c r="BS15" s="1352"/>
      <c r="BT15" s="1352"/>
      <c r="BU15" s="1352"/>
      <c r="BV15" s="1352"/>
      <c r="BW15" s="1352"/>
      <c r="BX15" s="1352"/>
      <c r="BY15" s="1352"/>
      <c r="BZ15" s="1352"/>
      <c r="CA15" s="1352"/>
      <c r="CB15" s="1352"/>
      <c r="CC15" s="1352"/>
      <c r="CD15" s="1352"/>
      <c r="CE15" s="1352"/>
      <c r="CF15" s="1352"/>
    </row>
    <row r="16" spans="2:85" s="1348" customFormat="1" ht="15" x14ac:dyDescent="0.25">
      <c r="B16" s="1414" t="str">
        <f>'[15]Statement of changes in equity'!$A$9</f>
        <v>As at 31.03.2023</v>
      </c>
      <c r="C16" s="1426">
        <f>C13+C14-C15</f>
        <v>98.320745200000005</v>
      </c>
      <c r="D16" s="1426">
        <f>D13+D14-D15</f>
        <v>922.08868940000002</v>
      </c>
      <c r="E16" s="1427">
        <f>E13+E14-E15</f>
        <v>1020.4094345999999</v>
      </c>
      <c r="G16" s="1418"/>
      <c r="H16" s="1418"/>
      <c r="I16" s="1352"/>
      <c r="N16" s="1418"/>
      <c r="O16" s="1352"/>
      <c r="P16" s="1352"/>
      <c r="BP16" s="1352"/>
      <c r="BQ16" s="1352"/>
      <c r="BR16" s="1352"/>
      <c r="BS16" s="1352"/>
      <c r="BT16" s="1352"/>
      <c r="BU16" s="1352"/>
      <c r="BV16" s="1352"/>
      <c r="BW16" s="1352"/>
      <c r="BX16" s="1352"/>
      <c r="BY16" s="1352"/>
      <c r="BZ16" s="1352"/>
      <c r="CA16" s="1352"/>
      <c r="CB16" s="1352"/>
      <c r="CC16" s="1352"/>
      <c r="CD16" s="1352"/>
      <c r="CE16" s="1352"/>
      <c r="CF16" s="1352"/>
    </row>
    <row r="17" spans="1:85" s="1348" customFormat="1" ht="15" x14ac:dyDescent="0.25">
      <c r="B17" s="1411" t="s">
        <v>58</v>
      </c>
      <c r="C17" s="1412">
        <f>290010873/10^7</f>
        <v>29.001087299999998</v>
      </c>
      <c r="D17" s="1415">
        <f>+E17-C17</f>
        <v>228.55176360000002</v>
      </c>
      <c r="E17" s="1413">
        <f>('[15]FA working'!R29+'[15]FA working'!R30)/10^7</f>
        <v>257.55285090000001</v>
      </c>
      <c r="G17" s="1418"/>
      <c r="H17" s="1418"/>
      <c r="I17" s="1352"/>
      <c r="N17" s="1418"/>
      <c r="O17" s="1352"/>
      <c r="P17" s="1352"/>
      <c r="BP17" s="1352"/>
      <c r="BQ17" s="1352"/>
      <c r="BR17" s="1352"/>
      <c r="BS17" s="1352"/>
      <c r="BT17" s="1352"/>
      <c r="BU17" s="1352"/>
      <c r="BV17" s="1352"/>
      <c r="BW17" s="1352"/>
      <c r="BX17" s="1352"/>
      <c r="BY17" s="1352"/>
      <c r="BZ17" s="1352"/>
      <c r="CA17" s="1352"/>
      <c r="CB17" s="1352"/>
      <c r="CC17" s="1352"/>
      <c r="CD17" s="1352"/>
      <c r="CE17" s="1352"/>
      <c r="CF17" s="1352"/>
    </row>
    <row r="18" spans="1:85" s="1348" customFormat="1" ht="15" x14ac:dyDescent="0.25">
      <c r="B18" s="1411" t="s">
        <v>2277</v>
      </c>
      <c r="C18" s="1412">
        <v>0</v>
      </c>
      <c r="D18" s="1412">
        <f>+E18-C18</f>
        <v>0</v>
      </c>
      <c r="E18" s="1413">
        <f>'[15]FA working'!R31/10^7</f>
        <v>0</v>
      </c>
      <c r="G18" s="1418"/>
      <c r="H18" s="1418"/>
      <c r="I18" s="1352"/>
      <c r="N18" s="1429"/>
      <c r="O18" s="1352"/>
      <c r="P18" s="1352"/>
      <c r="BP18" s="1352"/>
      <c r="BQ18" s="1352"/>
      <c r="BR18" s="1352"/>
      <c r="BS18" s="1352"/>
      <c r="BT18" s="1352"/>
      <c r="BU18" s="1352"/>
      <c r="BV18" s="1352"/>
      <c r="BW18" s="1352"/>
      <c r="BX18" s="1352"/>
      <c r="BY18" s="1352"/>
      <c r="BZ18" s="1352"/>
      <c r="CA18" s="1352"/>
      <c r="CB18" s="1352"/>
      <c r="CC18" s="1352"/>
      <c r="CD18" s="1352"/>
      <c r="CE18" s="1352"/>
      <c r="CF18" s="1352"/>
    </row>
    <row r="19" spans="1:85" s="1348" customFormat="1" ht="15" x14ac:dyDescent="0.25">
      <c r="B19" s="1414" t="str">
        <f>'[15]Statement of changes in equity'!$A$11</f>
        <v>As at 31.03.2024</v>
      </c>
      <c r="C19" s="1426">
        <f>C16+C17-C18</f>
        <v>127.3218325</v>
      </c>
      <c r="D19" s="1426">
        <f>D16+D17-D18</f>
        <v>1150.640453</v>
      </c>
      <c r="E19" s="1427">
        <f>E16+E17-E18</f>
        <v>1277.9622855</v>
      </c>
      <c r="G19" s="1430"/>
      <c r="H19" s="1418"/>
      <c r="I19" s="1352"/>
      <c r="N19" s="1430"/>
      <c r="O19" s="1352"/>
      <c r="P19" s="1352"/>
      <c r="BP19" s="1352"/>
      <c r="BQ19" s="1352"/>
      <c r="BR19" s="1352"/>
      <c r="BS19" s="1352"/>
      <c r="BT19" s="1352"/>
      <c r="BU19" s="1352"/>
      <c r="BV19" s="1352"/>
      <c r="BW19" s="1352"/>
      <c r="BX19" s="1352"/>
      <c r="BY19" s="1352"/>
      <c r="BZ19" s="1352"/>
      <c r="CA19" s="1352"/>
      <c r="CB19" s="1352"/>
      <c r="CC19" s="1352"/>
      <c r="CD19" s="1352"/>
      <c r="CE19" s="1352"/>
      <c r="CF19" s="1352"/>
    </row>
    <row r="20" spans="1:85" s="1348" customFormat="1" ht="15" x14ac:dyDescent="0.25">
      <c r="B20" s="1431" t="s">
        <v>2278</v>
      </c>
      <c r="C20" s="1426"/>
      <c r="D20" s="1426"/>
      <c r="E20" s="1427"/>
      <c r="G20" s="1418"/>
      <c r="H20" s="1418"/>
      <c r="I20" s="1352"/>
      <c r="N20" s="1418"/>
      <c r="O20" s="1352"/>
      <c r="P20" s="1352"/>
      <c r="BP20" s="1352"/>
      <c r="BQ20" s="1352"/>
      <c r="BR20" s="1352"/>
      <c r="BS20" s="1352"/>
      <c r="BT20" s="1352"/>
      <c r="BU20" s="1352"/>
      <c r="BV20" s="1352"/>
      <c r="BW20" s="1352"/>
      <c r="BX20" s="1352"/>
      <c r="BY20" s="1352"/>
      <c r="BZ20" s="1352"/>
      <c r="CA20" s="1352"/>
      <c r="CB20" s="1352"/>
      <c r="CC20" s="1352"/>
      <c r="CD20" s="1352"/>
      <c r="CE20" s="1352"/>
      <c r="CF20" s="1352"/>
    </row>
    <row r="21" spans="1:85" s="1348" customFormat="1" ht="15" x14ac:dyDescent="0.25">
      <c r="B21" s="1414" t="str">
        <f>'[15]Statement of changes in equity'!$A$5</f>
        <v>As on 31.03.2022</v>
      </c>
      <c r="C21" s="1426">
        <f>C5-C13</f>
        <v>39.391445599999997</v>
      </c>
      <c r="D21" s="1426">
        <f>D5-D13</f>
        <v>3633.6684520999997</v>
      </c>
      <c r="E21" s="1427">
        <f>E5-E13</f>
        <v>3673.0598977</v>
      </c>
      <c r="G21" s="1418"/>
      <c r="H21" s="1418"/>
      <c r="I21" s="1352"/>
      <c r="N21" s="1418"/>
      <c r="O21" s="1352"/>
      <c r="P21" s="1352"/>
      <c r="BP21" s="1352"/>
      <c r="BQ21" s="1352"/>
      <c r="BR21" s="1352"/>
      <c r="BS21" s="1352"/>
      <c r="BT21" s="1352"/>
      <c r="BU21" s="1352"/>
      <c r="BV21" s="1352"/>
      <c r="BW21" s="1352"/>
      <c r="BX21" s="1352"/>
      <c r="BY21" s="1352"/>
      <c r="BZ21" s="1352"/>
      <c r="CA21" s="1352"/>
      <c r="CB21" s="1352"/>
      <c r="CC21" s="1352"/>
      <c r="CD21" s="1352"/>
      <c r="CE21" s="1352"/>
      <c r="CF21" s="1352"/>
    </row>
    <row r="22" spans="1:85" s="1348" customFormat="1" ht="15" x14ac:dyDescent="0.25">
      <c r="B22" s="1414" t="str">
        <f>'[15]Statement of changes in equity'!$A$9</f>
        <v>As at 31.03.2023</v>
      </c>
      <c r="C22" s="1424">
        <f>C8-C16</f>
        <v>14.811259299999989</v>
      </c>
      <c r="D22" s="1424">
        <f>D8-D16</f>
        <v>3404.4261240999999</v>
      </c>
      <c r="E22" s="1425">
        <f>E8-E16</f>
        <v>3419.2373834</v>
      </c>
      <c r="G22" s="1418"/>
      <c r="H22" s="1418">
        <f>+'[15]balance sheet P&amp;L'!$E$8-E22</f>
        <v>0</v>
      </c>
      <c r="I22" s="1352"/>
      <c r="N22" s="1418"/>
      <c r="O22" s="1352"/>
      <c r="P22" s="1352"/>
      <c r="BP22" s="1352"/>
      <c r="BQ22" s="1352"/>
      <c r="BR22" s="1352"/>
      <c r="BS22" s="1352"/>
      <c r="BT22" s="1352"/>
      <c r="BU22" s="1352"/>
      <c r="BV22" s="1352"/>
      <c r="BW22" s="1352"/>
      <c r="BX22" s="1352"/>
      <c r="BY22" s="1352"/>
      <c r="BZ22" s="1352"/>
      <c r="CA22" s="1352"/>
      <c r="CB22" s="1352"/>
      <c r="CC22" s="1352"/>
      <c r="CD22" s="1352"/>
      <c r="CE22" s="1352"/>
      <c r="CF22" s="1352"/>
    </row>
    <row r="23" spans="1:85" ht="15" x14ac:dyDescent="0.25">
      <c r="A23" s="1432"/>
      <c r="B23" s="1414" t="str">
        <f>'[15]Statement of changes in equity'!$A$11</f>
        <v>As at 31.03.2024</v>
      </c>
      <c r="C23" s="1424">
        <f>C11-C19</f>
        <v>112.30153440000001</v>
      </c>
      <c r="D23" s="1424">
        <f>D11-D19</f>
        <v>3175.8743605</v>
      </c>
      <c r="E23" s="1425">
        <f>E11-E19</f>
        <v>3288.1758949000005</v>
      </c>
      <c r="G23" s="1433"/>
      <c r="H23" s="1418">
        <f>+'[15]balance sheet P&amp;L'!$D$8-E23</f>
        <v>0</v>
      </c>
      <c r="J23" s="1432"/>
    </row>
    <row r="24" spans="1:85" ht="15" x14ac:dyDescent="0.25">
      <c r="A24" s="1432"/>
      <c r="B24" s="1434"/>
      <c r="C24" s="1435"/>
      <c r="D24" s="1436"/>
      <c r="E24" s="1437"/>
      <c r="F24" s="1433"/>
      <c r="G24" s="1433"/>
      <c r="J24" s="1432"/>
    </row>
    <row r="25" spans="1:85" s="1348" customFormat="1" ht="15" x14ac:dyDescent="0.25">
      <c r="B25" s="1438" t="s">
        <v>2292</v>
      </c>
      <c r="C25" s="1439" t="s">
        <v>547</v>
      </c>
      <c r="D25" s="1440"/>
      <c r="E25" s="1441"/>
      <c r="F25" s="1352"/>
      <c r="G25" s="1352"/>
      <c r="H25" s="1352"/>
      <c r="I25" s="1352"/>
      <c r="J25" s="1352"/>
      <c r="O25" s="1352"/>
      <c r="P25" s="1406"/>
      <c r="Q25" s="1406"/>
      <c r="R25" s="1407"/>
      <c r="S25" s="1382"/>
      <c r="T25" s="1382"/>
      <c r="U25" s="1382"/>
      <c r="W25" s="1382"/>
      <c r="BQ25" s="1352"/>
      <c r="BR25" s="1352"/>
      <c r="BS25" s="1352"/>
      <c r="BT25" s="1352"/>
      <c r="BU25" s="1352"/>
      <c r="BV25" s="1352"/>
      <c r="BW25" s="1352"/>
      <c r="BX25" s="1352"/>
      <c r="BY25" s="1352"/>
      <c r="BZ25" s="1352"/>
      <c r="CA25" s="1352" t="e">
        <f>#REF!-'[15]Consolidated FA'!CM29</f>
        <v>#REF!</v>
      </c>
      <c r="CB25" s="1352" t="e">
        <f>#REF!-'[15]Consolidated FA'!CM27</f>
        <v>#REF!</v>
      </c>
      <c r="CC25" s="1352" t="e">
        <f>#REF!-'[15]Consolidated FA'!CM25</f>
        <v>#REF!</v>
      </c>
      <c r="CD25" s="1352" t="e">
        <f>+'[15]Consolidated FA'!CM31-#REF!</f>
        <v>#REF!</v>
      </c>
      <c r="CE25" s="1352"/>
      <c r="CF25" s="1352"/>
      <c r="CG25" s="1352"/>
    </row>
    <row r="26" spans="1:85" s="1348" customFormat="1" ht="15" customHeight="1" x14ac:dyDescent="0.25">
      <c r="B26" s="1416" t="s">
        <v>2254</v>
      </c>
      <c r="C26" s="1415" t="s">
        <v>2293</v>
      </c>
      <c r="D26" s="1442"/>
      <c r="E26" s="1443"/>
      <c r="F26" s="1410"/>
      <c r="G26" s="1410"/>
      <c r="H26" s="1410"/>
      <c r="I26" s="1352"/>
      <c r="N26" s="1410"/>
      <c r="O26" s="1406"/>
      <c r="P26" s="1406"/>
      <c r="Q26" s="1407"/>
      <c r="R26" s="1382"/>
      <c r="S26" s="1382"/>
      <c r="T26" s="1382"/>
      <c r="U26" s="1382"/>
      <c r="V26" s="1382"/>
      <c r="W26" s="1382"/>
      <c r="X26" s="1382"/>
      <c r="BP26" s="1352"/>
      <c r="BQ26" s="1352"/>
      <c r="BR26" s="1352"/>
      <c r="BS26" s="1352"/>
      <c r="BT26" s="1352"/>
      <c r="BU26" s="1352"/>
      <c r="BV26" s="1352"/>
      <c r="BW26" s="1352"/>
      <c r="BX26" s="1352"/>
      <c r="BY26" s="1352"/>
      <c r="BZ26" s="1352"/>
      <c r="CA26" s="1352"/>
      <c r="CB26" s="1352"/>
      <c r="CC26" s="1352"/>
      <c r="CD26" s="1352"/>
      <c r="CE26" s="1352"/>
      <c r="CF26" s="1352"/>
    </row>
    <row r="27" spans="1:85" s="1348" customFormat="1" ht="15.75" x14ac:dyDescent="0.25">
      <c r="B27" s="1411" t="s">
        <v>2290</v>
      </c>
      <c r="C27" s="1412"/>
      <c r="D27" s="1444"/>
      <c r="E27" s="1445"/>
      <c r="F27" s="1410"/>
      <c r="G27" s="1410"/>
      <c r="H27" s="1410"/>
      <c r="I27" s="1352"/>
      <c r="N27" s="1410"/>
      <c r="O27" s="1406"/>
      <c r="P27" s="1406"/>
      <c r="R27" s="1382"/>
      <c r="T27" s="1382"/>
      <c r="V27" s="1382"/>
      <c r="BP27" s="1352"/>
      <c r="BQ27" s="1352"/>
      <c r="BR27" s="1352"/>
      <c r="BS27" s="1352"/>
      <c r="BT27" s="1352"/>
      <c r="BU27" s="1352"/>
      <c r="BV27" s="1352"/>
      <c r="BW27" s="1352"/>
      <c r="BX27" s="1352"/>
      <c r="BY27" s="1352"/>
      <c r="BZ27" s="1352"/>
      <c r="CA27" s="1352"/>
      <c r="CB27" s="1352"/>
      <c r="CC27" s="1352"/>
      <c r="CD27" s="1352"/>
      <c r="CE27" s="1352"/>
      <c r="CF27" s="1352"/>
    </row>
    <row r="28" spans="1:85" s="1348" customFormat="1" ht="15.75" x14ac:dyDescent="0.25">
      <c r="B28" s="1414" t="str">
        <f>'[15]Statement of changes in equity'!$A$5</f>
        <v>As on 31.03.2022</v>
      </c>
      <c r="C28" s="1415">
        <f>'[15]FA working'!Q9/10^7</f>
        <v>37.406316498000002</v>
      </c>
      <c r="D28" s="1442"/>
      <c r="E28" s="1443"/>
      <c r="F28" s="1410"/>
      <c r="G28" s="1410"/>
      <c r="H28" s="1410"/>
      <c r="I28" s="1352"/>
      <c r="N28" s="1410"/>
      <c r="O28" s="1406"/>
      <c r="P28" s="1406"/>
      <c r="Q28" s="1407"/>
      <c r="R28" s="1352"/>
      <c r="U28" s="1382"/>
      <c r="V28" s="1382"/>
      <c r="BP28" s="1352"/>
      <c r="BQ28" s="1352"/>
      <c r="BR28" s="1352"/>
      <c r="BS28" s="1352"/>
      <c r="BT28" s="1352"/>
      <c r="BU28" s="1352"/>
      <c r="BV28" s="1352"/>
      <c r="BW28" s="1352"/>
      <c r="BX28" s="1352"/>
      <c r="BY28" s="1352"/>
      <c r="BZ28" s="1352"/>
      <c r="CA28" s="1352"/>
      <c r="CB28" s="1352"/>
      <c r="CC28" s="1352"/>
      <c r="CD28" s="1352"/>
      <c r="CE28" s="1352"/>
      <c r="CF28" s="1352"/>
    </row>
    <row r="29" spans="1:85" s="1348" customFormat="1" ht="15" x14ac:dyDescent="0.25">
      <c r="B29" s="1411" t="s">
        <v>58</v>
      </c>
      <c r="C29" s="1446">
        <f>'[15]FA working'!Q11/10^7</f>
        <v>2.8820104730000002</v>
      </c>
      <c r="D29" s="1444"/>
      <c r="E29" s="1445"/>
      <c r="F29" s="1418"/>
      <c r="G29" s="1418"/>
      <c r="H29" s="1418"/>
      <c r="I29" s="1352"/>
      <c r="N29" s="1418"/>
      <c r="O29" s="1352"/>
      <c r="P29" s="1352"/>
      <c r="V29" s="1382"/>
      <c r="BP29" s="1352"/>
      <c r="BQ29" s="1352"/>
      <c r="BR29" s="1352"/>
      <c r="BS29" s="1352"/>
      <c r="BT29" s="1352"/>
      <c r="BU29" s="1352"/>
      <c r="BV29" s="1352"/>
      <c r="BW29" s="1352"/>
      <c r="BX29" s="1352"/>
      <c r="BY29" s="1352"/>
      <c r="BZ29" s="1352"/>
      <c r="CA29" s="1352"/>
      <c r="CB29" s="1352"/>
      <c r="CC29" s="1352"/>
      <c r="CD29" s="1352"/>
      <c r="CE29" s="1352"/>
      <c r="CF29" s="1352"/>
    </row>
    <row r="30" spans="1:85" s="1348" customFormat="1" ht="15" x14ac:dyDescent="0.25">
      <c r="B30" s="1411" t="s">
        <v>2275</v>
      </c>
      <c r="C30" s="1446">
        <f>'[15]FA working'!Q12/10^7</f>
        <v>0.11793038</v>
      </c>
      <c r="D30" s="1444"/>
      <c r="E30" s="1445"/>
      <c r="F30" s="1418"/>
      <c r="G30" s="1418"/>
      <c r="H30" s="1418"/>
      <c r="I30" s="1352"/>
      <c r="N30" s="1418"/>
      <c r="O30" s="1352"/>
      <c r="P30" s="1352"/>
      <c r="Q30" s="1407"/>
      <c r="W30" s="1382"/>
      <c r="BP30" s="1352"/>
      <c r="BQ30" s="1352"/>
      <c r="BR30" s="1352"/>
      <c r="BS30" s="1352"/>
      <c r="BT30" s="1352"/>
      <c r="BU30" s="1352"/>
      <c r="BV30" s="1352"/>
      <c r="BW30" s="1352"/>
      <c r="BX30" s="1352"/>
      <c r="BY30" s="1352"/>
      <c r="BZ30" s="1352"/>
      <c r="CA30" s="1352"/>
      <c r="CB30" s="1352"/>
      <c r="CC30" s="1352"/>
      <c r="CD30" s="1352"/>
      <c r="CE30" s="1352"/>
      <c r="CF30" s="1352"/>
    </row>
    <row r="31" spans="1:85" s="1348" customFormat="1" ht="15" x14ac:dyDescent="0.25">
      <c r="B31" s="1414" t="str">
        <f>'[15]Statement of changes in equity'!$A$9</f>
        <v>As at 31.03.2023</v>
      </c>
      <c r="C31" s="1419">
        <f>C28+C29-C30</f>
        <v>40.170396591000006</v>
      </c>
      <c r="D31" s="1444"/>
      <c r="E31" s="1445"/>
      <c r="F31" s="1418"/>
      <c r="G31" s="1418"/>
      <c r="I31" s="1352"/>
      <c r="N31" s="1418"/>
      <c r="O31" s="1352"/>
      <c r="P31" s="1352"/>
      <c r="Q31" s="1407"/>
      <c r="T31" s="1421"/>
      <c r="U31" s="1382"/>
      <c r="V31" s="1382"/>
      <c r="BP31" s="1352"/>
      <c r="BQ31" s="1352"/>
      <c r="BR31" s="1352"/>
      <c r="BS31" s="1352"/>
      <c r="BT31" s="1352"/>
      <c r="BU31" s="1352"/>
      <c r="BV31" s="1352"/>
      <c r="BW31" s="1352"/>
      <c r="BX31" s="1352"/>
      <c r="BY31" s="1352"/>
      <c r="BZ31" s="1352"/>
      <c r="CA31" s="1352"/>
      <c r="CB31" s="1352"/>
      <c r="CC31" s="1352"/>
      <c r="CD31" s="1352"/>
      <c r="CE31" s="1352"/>
      <c r="CF31" s="1352"/>
    </row>
    <row r="32" spans="1:85" s="1348" customFormat="1" ht="15" x14ac:dyDescent="0.25">
      <c r="B32" s="1411" t="s">
        <v>58</v>
      </c>
      <c r="C32" s="1417">
        <f>'[15]FA working'!Q16/10^7</f>
        <v>5.9234551000000003E-2</v>
      </c>
      <c r="D32" s="1444"/>
      <c r="E32" s="1445"/>
      <c r="F32" s="1418"/>
      <c r="G32" s="1418"/>
      <c r="H32" s="1418"/>
      <c r="I32" s="1352"/>
      <c r="N32" s="1418"/>
      <c r="O32" s="1352"/>
      <c r="P32" s="1352"/>
      <c r="Q32" s="1407"/>
      <c r="V32" s="1374"/>
      <c r="BP32" s="1352"/>
      <c r="BQ32" s="1352"/>
      <c r="BR32" s="1352"/>
      <c r="BS32" s="1352"/>
      <c r="BT32" s="1352"/>
      <c r="BU32" s="1352"/>
      <c r="BV32" s="1352"/>
      <c r="BW32" s="1352"/>
      <c r="BX32" s="1352"/>
      <c r="BY32" s="1352"/>
      <c r="BZ32" s="1352"/>
      <c r="CA32" s="1352"/>
      <c r="CB32" s="1352"/>
      <c r="CC32" s="1352"/>
      <c r="CD32" s="1352"/>
      <c r="CE32" s="1352"/>
      <c r="CF32" s="1352"/>
    </row>
    <row r="33" spans="1:84" s="1348" customFormat="1" ht="15" x14ac:dyDescent="0.25">
      <c r="B33" s="1411" t="s">
        <v>2275</v>
      </c>
      <c r="C33" s="1412">
        <f>'[15]FA working'!Q17/10^7</f>
        <v>0</v>
      </c>
      <c r="D33" s="1444"/>
      <c r="E33" s="1445"/>
      <c r="F33" s="1418"/>
      <c r="G33" s="1418"/>
      <c r="H33" s="1418"/>
      <c r="I33" s="1423"/>
      <c r="N33" s="1418"/>
      <c r="O33" s="1352"/>
      <c r="P33" s="1352"/>
      <c r="Q33" s="1407"/>
      <c r="T33" s="1382"/>
      <c r="U33" s="1382"/>
      <c r="V33" s="1374"/>
      <c r="BP33" s="1352"/>
      <c r="BQ33" s="1352"/>
      <c r="BR33" s="1352"/>
      <c r="BS33" s="1352"/>
      <c r="BT33" s="1352"/>
      <c r="BU33" s="1352"/>
      <c r="BV33" s="1352"/>
      <c r="BW33" s="1352"/>
      <c r="BX33" s="1352"/>
      <c r="BY33" s="1352"/>
      <c r="BZ33" s="1352"/>
      <c r="CA33" s="1352"/>
      <c r="CB33" s="1352"/>
      <c r="CC33" s="1352"/>
      <c r="CD33" s="1352"/>
      <c r="CE33" s="1352"/>
      <c r="CF33" s="1352"/>
    </row>
    <row r="34" spans="1:84" s="1348" customFormat="1" ht="15" x14ac:dyDescent="0.25">
      <c r="B34" s="1414" t="str">
        <f>'[15]Statement of changes in equity'!$A$11</f>
        <v>As at 31.03.2024</v>
      </c>
      <c r="C34" s="1424">
        <f>C31+C32-C33</f>
        <v>40.229631142000009</v>
      </c>
      <c r="D34" s="1444"/>
      <c r="E34" s="1445"/>
      <c r="F34" s="1418"/>
      <c r="G34" s="1418"/>
      <c r="H34" s="1418"/>
      <c r="I34" s="1352"/>
      <c r="N34" s="1418"/>
      <c r="O34" s="1352"/>
      <c r="P34" s="1352"/>
      <c r="V34" s="1366"/>
      <c r="BP34" s="1352"/>
      <c r="BQ34" s="1352"/>
      <c r="BR34" s="1352"/>
      <c r="BS34" s="1352"/>
      <c r="BT34" s="1352"/>
      <c r="BU34" s="1352"/>
      <c r="BV34" s="1352"/>
      <c r="BW34" s="1352"/>
      <c r="BX34" s="1352"/>
      <c r="BY34" s="1352"/>
      <c r="BZ34" s="1352"/>
      <c r="CA34" s="1352"/>
      <c r="CB34" s="1352"/>
      <c r="CC34" s="1352"/>
      <c r="CD34" s="1352"/>
      <c r="CE34" s="1352"/>
      <c r="CF34" s="1352"/>
    </row>
    <row r="35" spans="1:84" s="1348" customFormat="1" ht="15" x14ac:dyDescent="0.25">
      <c r="B35" s="1431" t="s">
        <v>2291</v>
      </c>
      <c r="C35" s="1412"/>
      <c r="D35" s="1444"/>
      <c r="E35" s="1445"/>
      <c r="F35" s="1418"/>
      <c r="G35" s="1418"/>
      <c r="H35" s="1418"/>
      <c r="I35" s="1352"/>
      <c r="N35" s="1418"/>
      <c r="O35" s="1352">
        <f>10^7</f>
        <v>10000000</v>
      </c>
      <c r="P35" s="1352"/>
      <c r="BP35" s="1352"/>
      <c r="BQ35" s="1352"/>
      <c r="BR35" s="1352"/>
      <c r="BS35" s="1352"/>
      <c r="BT35" s="1352"/>
      <c r="BU35" s="1352"/>
      <c r="BV35" s="1352"/>
      <c r="BW35" s="1352"/>
      <c r="BX35" s="1352"/>
      <c r="BY35" s="1352"/>
      <c r="BZ35" s="1352"/>
      <c r="CA35" s="1352"/>
      <c r="CB35" s="1352"/>
      <c r="CC35" s="1352"/>
      <c r="CD35" s="1352"/>
      <c r="CE35" s="1352"/>
      <c r="CF35" s="1352"/>
    </row>
    <row r="36" spans="1:84" s="1348" customFormat="1" ht="15" x14ac:dyDescent="0.25">
      <c r="B36" s="1414" t="str">
        <f>'[15]Statement of changes in equity'!$A$5</f>
        <v>As on 31.03.2022</v>
      </c>
      <c r="C36" s="1426">
        <f>'[15]FA working'!Q23/10^7</f>
        <v>34.263122515000006</v>
      </c>
      <c r="D36" s="1444"/>
      <c r="E36" s="1445"/>
      <c r="F36" s="1418"/>
      <c r="G36" s="1418"/>
      <c r="H36" s="1418"/>
      <c r="I36" s="1352"/>
      <c r="N36" s="1418"/>
      <c r="O36" s="1352"/>
      <c r="P36" s="1352"/>
      <c r="V36" s="1352"/>
      <c r="BP36" s="1352"/>
      <c r="BQ36" s="1352"/>
      <c r="BR36" s="1352"/>
      <c r="BS36" s="1352"/>
      <c r="BT36" s="1352"/>
      <c r="BU36" s="1352"/>
      <c r="BV36" s="1352"/>
      <c r="BW36" s="1352"/>
      <c r="BX36" s="1352"/>
      <c r="BY36" s="1352"/>
      <c r="BZ36" s="1352"/>
      <c r="CA36" s="1352"/>
      <c r="CB36" s="1352"/>
      <c r="CC36" s="1352"/>
      <c r="CD36" s="1352"/>
      <c r="CE36" s="1352"/>
      <c r="CF36" s="1352"/>
    </row>
    <row r="37" spans="1:84" s="1348" customFormat="1" ht="15" x14ac:dyDescent="0.25">
      <c r="B37" s="1411" t="s">
        <v>58</v>
      </c>
      <c r="C37" s="1417">
        <f>('[15]FA working'!Q24+'[15]FA working'!Q25)/10^7</f>
        <v>1.7311343879999999</v>
      </c>
      <c r="D37" s="1444"/>
      <c r="E37" s="1445"/>
      <c r="F37" s="1418"/>
      <c r="G37" s="1418"/>
      <c r="H37" s="1418"/>
      <c r="I37" s="1352"/>
      <c r="N37" s="1418"/>
      <c r="O37" s="1352"/>
      <c r="P37" s="1352"/>
      <c r="BP37" s="1352"/>
      <c r="BQ37" s="1352"/>
      <c r="BR37" s="1352"/>
      <c r="BS37" s="1352"/>
      <c r="BT37" s="1352"/>
      <c r="BU37" s="1352"/>
      <c r="BV37" s="1352"/>
      <c r="BW37" s="1352"/>
      <c r="BX37" s="1352"/>
      <c r="BY37" s="1352"/>
      <c r="BZ37" s="1352"/>
      <c r="CA37" s="1352"/>
      <c r="CB37" s="1352"/>
      <c r="CC37" s="1352"/>
      <c r="CD37" s="1352"/>
      <c r="CE37" s="1352"/>
      <c r="CF37" s="1352"/>
    </row>
    <row r="38" spans="1:84" s="1348" customFormat="1" ht="15" x14ac:dyDescent="0.25">
      <c r="B38" s="1411" t="s">
        <v>2275</v>
      </c>
      <c r="C38" s="1412">
        <f>'[15]FA working'!Q26/10^7</f>
        <v>0.11793038</v>
      </c>
      <c r="D38" s="1447"/>
      <c r="E38" s="1445"/>
      <c r="F38" s="1418"/>
      <c r="G38" s="1418"/>
      <c r="H38" s="1418"/>
      <c r="I38" s="1352"/>
      <c r="N38" s="1418"/>
      <c r="O38" s="1352"/>
      <c r="P38" s="1352"/>
      <c r="BP38" s="1352"/>
      <c r="BQ38" s="1352"/>
      <c r="BR38" s="1352"/>
      <c r="BS38" s="1352"/>
      <c r="BT38" s="1352"/>
      <c r="BU38" s="1352"/>
      <c r="BV38" s="1352"/>
      <c r="BW38" s="1352"/>
      <c r="BX38" s="1352"/>
      <c r="BY38" s="1352"/>
      <c r="BZ38" s="1352"/>
      <c r="CA38" s="1352"/>
      <c r="CB38" s="1352"/>
      <c r="CC38" s="1352"/>
      <c r="CD38" s="1352"/>
      <c r="CE38" s="1352"/>
      <c r="CF38" s="1352"/>
    </row>
    <row r="39" spans="1:84" s="1348" customFormat="1" ht="15" x14ac:dyDescent="0.25">
      <c r="B39" s="1414" t="str">
        <f>'[15]Statement of changes in equity'!$A$9</f>
        <v>As at 31.03.2023</v>
      </c>
      <c r="C39" s="1426">
        <f>C36+C37-C38</f>
        <v>35.87632652300001</v>
      </c>
      <c r="D39" s="1444"/>
      <c r="E39" s="1445"/>
      <c r="F39" s="1418"/>
      <c r="G39" s="1418"/>
      <c r="H39" s="1418"/>
      <c r="I39" s="1352"/>
      <c r="N39" s="1418"/>
      <c r="O39" s="1352"/>
      <c r="P39" s="1352"/>
      <c r="BP39" s="1352"/>
      <c r="BQ39" s="1352"/>
      <c r="BR39" s="1352"/>
      <c r="BS39" s="1352"/>
      <c r="BT39" s="1352"/>
      <c r="BU39" s="1352"/>
      <c r="BV39" s="1352"/>
      <c r="BW39" s="1352"/>
      <c r="BX39" s="1352"/>
      <c r="BY39" s="1352"/>
      <c r="BZ39" s="1352"/>
      <c r="CA39" s="1352"/>
      <c r="CB39" s="1352"/>
      <c r="CC39" s="1352"/>
      <c r="CD39" s="1352"/>
      <c r="CE39" s="1352"/>
      <c r="CF39" s="1352"/>
    </row>
    <row r="40" spans="1:84" s="1348" customFormat="1" ht="15" x14ac:dyDescent="0.25">
      <c r="B40" s="1411" t="s">
        <v>58</v>
      </c>
      <c r="C40" s="1417">
        <f>('[15]FA working'!Q29+'[15]FA working'!Q30)/10^7</f>
        <v>1.8803448579999997</v>
      </c>
      <c r="D40" s="1444">
        <f>+C40</f>
        <v>1.8803448579999997</v>
      </c>
      <c r="E40" s="1445"/>
      <c r="F40" s="1418"/>
      <c r="G40" s="1418"/>
      <c r="H40" s="1418"/>
      <c r="I40" s="1352"/>
      <c r="J40" s="1348" t="s">
        <v>2294</v>
      </c>
      <c r="L40" s="1367">
        <v>1606227616.51</v>
      </c>
      <c r="M40" s="1448">
        <v>1606227616.51</v>
      </c>
      <c r="N40" s="1372">
        <f t="shared" ref="N40:N63" si="0">(L40-M40)/(10^7)</f>
        <v>0</v>
      </c>
      <c r="O40" s="1352"/>
      <c r="P40" s="1352"/>
      <c r="BP40" s="1352"/>
      <c r="BQ40" s="1352"/>
      <c r="BR40" s="1352"/>
      <c r="BS40" s="1352"/>
      <c r="BT40" s="1352"/>
      <c r="BU40" s="1352"/>
      <c r="BV40" s="1352"/>
      <c r="BW40" s="1352"/>
      <c r="BX40" s="1352"/>
      <c r="BY40" s="1352"/>
      <c r="BZ40" s="1352"/>
      <c r="CA40" s="1352"/>
      <c r="CB40" s="1352"/>
      <c r="CC40" s="1352"/>
      <c r="CD40" s="1352"/>
      <c r="CE40" s="1352"/>
      <c r="CF40" s="1352"/>
    </row>
    <row r="41" spans="1:84" s="1348" customFormat="1" ht="15" x14ac:dyDescent="0.25">
      <c r="B41" s="1411" t="s">
        <v>2277</v>
      </c>
      <c r="C41" s="1412">
        <f>'[15]FA working'!Q31/10^7</f>
        <v>0</v>
      </c>
      <c r="D41" s="1446"/>
      <c r="E41" s="1445"/>
      <c r="F41" s="1418"/>
      <c r="G41" s="1418"/>
      <c r="H41" s="1418"/>
      <c r="I41" s="1352"/>
      <c r="J41" s="1348" t="s">
        <v>2295</v>
      </c>
      <c r="L41" s="1348">
        <v>0</v>
      </c>
      <c r="M41" s="1348">
        <v>0</v>
      </c>
      <c r="N41" s="1372">
        <f t="shared" si="0"/>
        <v>0</v>
      </c>
      <c r="O41" s="1352"/>
      <c r="P41" s="1352"/>
      <c r="BP41" s="1352"/>
      <c r="BQ41" s="1352"/>
      <c r="BR41" s="1352"/>
      <c r="BS41" s="1352"/>
      <c r="BT41" s="1352"/>
      <c r="BU41" s="1352"/>
      <c r="BV41" s="1352"/>
      <c r="BW41" s="1352"/>
      <c r="BX41" s="1352"/>
      <c r="BY41" s="1352"/>
      <c r="BZ41" s="1352"/>
      <c r="CA41" s="1352"/>
      <c r="CB41" s="1352"/>
      <c r="CC41" s="1352"/>
      <c r="CD41" s="1352"/>
      <c r="CE41" s="1352"/>
      <c r="CF41" s="1352"/>
    </row>
    <row r="42" spans="1:84" s="1348" customFormat="1" ht="15" x14ac:dyDescent="0.25">
      <c r="B42" s="1414" t="str">
        <f>'[15]Statement of changes in equity'!$A$11</f>
        <v>As at 31.03.2024</v>
      </c>
      <c r="C42" s="1426">
        <f>C39+C40-C41</f>
        <v>37.756671381000011</v>
      </c>
      <c r="D42" s="1449"/>
      <c r="E42" s="1450"/>
      <c r="F42" s="1430"/>
      <c r="G42" s="1430"/>
      <c r="H42" s="1418"/>
      <c r="I42" s="1352"/>
      <c r="J42" s="1348" t="s">
        <v>2296</v>
      </c>
      <c r="L42" s="1367">
        <v>2386425490.9899998</v>
      </c>
      <c r="M42" s="1367">
        <v>2386425490.9899998</v>
      </c>
      <c r="N42" s="1372">
        <f t="shared" si="0"/>
        <v>0</v>
      </c>
      <c r="O42" s="1352"/>
      <c r="P42" s="1352"/>
      <c r="BP42" s="1352"/>
      <c r="BQ42" s="1352"/>
      <c r="BR42" s="1352"/>
      <c r="BS42" s="1352"/>
      <c r="BT42" s="1352"/>
      <c r="BU42" s="1352"/>
      <c r="BV42" s="1352"/>
      <c r="BW42" s="1352"/>
      <c r="BX42" s="1352"/>
      <c r="BY42" s="1352"/>
      <c r="BZ42" s="1352"/>
      <c r="CA42" s="1352"/>
      <c r="CB42" s="1352"/>
      <c r="CC42" s="1352"/>
      <c r="CD42" s="1352"/>
      <c r="CE42" s="1352"/>
      <c r="CF42" s="1352"/>
    </row>
    <row r="43" spans="1:84" s="1348" customFormat="1" ht="15" x14ac:dyDescent="0.25">
      <c r="B43" s="1431" t="s">
        <v>2278</v>
      </c>
      <c r="C43" s="1426"/>
      <c r="D43" s="1449"/>
      <c r="E43" s="1450"/>
      <c r="F43" s="1418"/>
      <c r="G43" s="1418"/>
      <c r="H43" s="1418"/>
      <c r="I43" s="1352"/>
      <c r="J43" s="1348" t="s">
        <v>2297</v>
      </c>
      <c r="L43" s="1367">
        <v>291080505</v>
      </c>
      <c r="M43" s="1367">
        <v>291080505</v>
      </c>
      <c r="N43" s="1372">
        <f t="shared" si="0"/>
        <v>0</v>
      </c>
      <c r="O43" s="1352"/>
      <c r="P43" s="1352"/>
      <c r="BP43" s="1352"/>
      <c r="BQ43" s="1352"/>
      <c r="BR43" s="1352"/>
      <c r="BS43" s="1352"/>
      <c r="BT43" s="1352"/>
      <c r="BU43" s="1352"/>
      <c r="BV43" s="1352"/>
      <c r="BW43" s="1352"/>
      <c r="BX43" s="1352"/>
      <c r="BY43" s="1352"/>
      <c r="BZ43" s="1352"/>
      <c r="CA43" s="1352"/>
      <c r="CB43" s="1352"/>
      <c r="CC43" s="1352"/>
      <c r="CD43" s="1352"/>
      <c r="CE43" s="1352"/>
      <c r="CF43" s="1352"/>
    </row>
    <row r="44" spans="1:84" s="1348" customFormat="1" ht="15" x14ac:dyDescent="0.25">
      <c r="B44" s="1414" t="str">
        <f>'[15]Statement of changes in equity'!$A$5</f>
        <v>As on 31.03.2022</v>
      </c>
      <c r="C44" s="1426">
        <f>C28-C36</f>
        <v>3.1431939829999962</v>
      </c>
      <c r="D44" s="1449"/>
      <c r="E44" s="1450"/>
      <c r="F44" s="1418"/>
      <c r="G44" s="1418"/>
      <c r="H44" s="1418"/>
      <c r="I44" s="1352"/>
      <c r="J44" s="1348" t="s">
        <v>2298</v>
      </c>
      <c r="L44" s="1367">
        <v>30578011.280000001</v>
      </c>
      <c r="M44" s="1367">
        <v>30578011.280000001</v>
      </c>
      <c r="N44" s="1372">
        <f t="shared" si="0"/>
        <v>0</v>
      </c>
      <c r="O44" s="1352"/>
      <c r="P44" s="1352"/>
      <c r="BP44" s="1352"/>
      <c r="BQ44" s="1352"/>
      <c r="BR44" s="1352"/>
      <c r="BS44" s="1352"/>
      <c r="BT44" s="1352"/>
      <c r="BU44" s="1352"/>
      <c r="BV44" s="1352"/>
      <c r="BW44" s="1352"/>
      <c r="BX44" s="1352"/>
      <c r="BY44" s="1352"/>
      <c r="BZ44" s="1352"/>
      <c r="CA44" s="1352"/>
      <c r="CB44" s="1352"/>
      <c r="CC44" s="1352"/>
      <c r="CD44" s="1352"/>
      <c r="CE44" s="1352"/>
      <c r="CF44" s="1352"/>
    </row>
    <row r="45" spans="1:84" s="1348" customFormat="1" ht="15" x14ac:dyDescent="0.25">
      <c r="B45" s="1414" t="str">
        <f>'[15]Statement of changes in equity'!$A$9</f>
        <v>As at 31.03.2023</v>
      </c>
      <c r="C45" s="1424">
        <f>C31-C39</f>
        <v>4.2940700679999964</v>
      </c>
      <c r="D45" s="1451"/>
      <c r="E45" s="1450"/>
      <c r="F45" s="1418"/>
      <c r="G45" s="1418"/>
      <c r="H45" s="1418">
        <f>'[15]balance sheet P&amp;L'!$E$9-C45</f>
        <v>0</v>
      </c>
      <c r="I45" s="1352"/>
      <c r="J45" s="1348" t="s">
        <v>2299</v>
      </c>
      <c r="L45" s="1367">
        <v>7874404893.6899996</v>
      </c>
      <c r="M45" s="1367">
        <v>7874404893.6899996</v>
      </c>
      <c r="N45" s="1372">
        <f t="shared" si="0"/>
        <v>0</v>
      </c>
      <c r="O45" s="1352"/>
      <c r="P45" s="1352"/>
      <c r="BP45" s="1352"/>
      <c r="BQ45" s="1352"/>
      <c r="BR45" s="1352"/>
      <c r="BS45" s="1352"/>
      <c r="BT45" s="1352"/>
      <c r="BU45" s="1352"/>
      <c r="BV45" s="1352"/>
      <c r="BW45" s="1352"/>
      <c r="BX45" s="1352"/>
      <c r="BY45" s="1352"/>
      <c r="BZ45" s="1352"/>
      <c r="CA45" s="1352"/>
      <c r="CB45" s="1352"/>
      <c r="CC45" s="1352"/>
      <c r="CD45" s="1352"/>
      <c r="CE45" s="1352"/>
      <c r="CF45" s="1352"/>
    </row>
    <row r="46" spans="1:84" ht="15" x14ac:dyDescent="0.25">
      <c r="A46" s="1432"/>
      <c r="B46" s="1414" t="str">
        <f>'[15]Statement of changes in equity'!$A$11</f>
        <v>As at 31.03.2024</v>
      </c>
      <c r="C46" s="1452">
        <f>C34-C42</f>
        <v>2.4729597609999985</v>
      </c>
      <c r="D46" s="1453"/>
      <c r="E46" s="1437"/>
      <c r="F46" s="1433"/>
      <c r="G46" s="1433"/>
      <c r="H46" s="1418">
        <f>'[15]balance sheet P&amp;L'!$D$9-C46</f>
        <v>7.1054273576010019E-15</v>
      </c>
      <c r="J46" s="1432" t="s">
        <v>2300</v>
      </c>
      <c r="L46" s="1043">
        <v>4184717.01</v>
      </c>
      <c r="M46" s="1043">
        <v>4184717.01</v>
      </c>
      <c r="N46" s="1372">
        <f t="shared" si="0"/>
        <v>0</v>
      </c>
    </row>
    <row r="47" spans="1:84" ht="15" x14ac:dyDescent="0.25">
      <c r="A47" s="1432"/>
      <c r="B47" s="431"/>
      <c r="C47" s="821"/>
      <c r="D47" s="243"/>
      <c r="E47" s="737"/>
      <c r="J47" t="s">
        <v>2301</v>
      </c>
      <c r="K47" s="1432"/>
      <c r="L47" s="1043">
        <v>11154019.390000001</v>
      </c>
      <c r="M47" s="1043">
        <v>11154019.390000001</v>
      </c>
      <c r="N47" s="1372">
        <f t="shared" si="0"/>
        <v>0</v>
      </c>
    </row>
    <row r="48" spans="1:84" ht="15" x14ac:dyDescent="0.25">
      <c r="A48" s="1432"/>
      <c r="B48" s="1454" t="s">
        <v>2302</v>
      </c>
      <c r="C48" s="1455"/>
      <c r="D48" s="1456" t="s">
        <v>547</v>
      </c>
      <c r="E48" s="1278"/>
      <c r="F48" s="1457"/>
      <c r="J48" t="s">
        <v>2303</v>
      </c>
      <c r="K48" s="1432"/>
      <c r="L48" s="1043">
        <v>389471</v>
      </c>
      <c r="M48" s="1043">
        <v>389471</v>
      </c>
      <c r="N48" s="1372">
        <f t="shared" si="0"/>
        <v>0</v>
      </c>
      <c r="O48" s="1458"/>
    </row>
    <row r="49" spans="1:15" ht="15" x14ac:dyDescent="0.25">
      <c r="A49" s="1432"/>
      <c r="B49" s="1459" t="s">
        <v>2304</v>
      </c>
      <c r="C49" s="1460" t="str">
        <f>+'[15]balance sheet P&amp;L'!$D$3</f>
        <v>31.03.2024</v>
      </c>
      <c r="D49" s="1461" t="str">
        <f>+'[15]balance sheet P&amp;L'!$E$3</f>
        <v>31.03.2023 (RESTATED)</v>
      </c>
      <c r="E49" s="1462" t="str">
        <f>+'[15]Statement of changes in equity'!$A$5</f>
        <v>As on 31.03.2022</v>
      </c>
      <c r="F49" s="1457"/>
      <c r="J49" t="s">
        <v>2305</v>
      </c>
      <c r="K49" s="1432"/>
      <c r="L49" s="1043">
        <v>19600</v>
      </c>
      <c r="M49" s="1043">
        <v>19600</v>
      </c>
      <c r="N49" s="1372">
        <f t="shared" si="0"/>
        <v>0</v>
      </c>
      <c r="O49" s="1463"/>
    </row>
    <row r="50" spans="1:15" ht="15" x14ac:dyDescent="0.25">
      <c r="A50" s="1432"/>
      <c r="B50" s="1464" t="s">
        <v>264</v>
      </c>
      <c r="C50" s="1465">
        <f>+'[15]Balance sheet groupings'!C66-'[15]Balance sheet groupings'!C82</f>
        <v>54.288027578000026</v>
      </c>
      <c r="D50" s="1466">
        <f>+'[15]Balance sheet groupings'!E66-'[15]Balance sheet groupings'!E82</f>
        <v>123.92182990399999</v>
      </c>
      <c r="E50" s="1467">
        <v>196.68030740199993</v>
      </c>
      <c r="F50" s="1457"/>
      <c r="J50" t="s">
        <v>2306</v>
      </c>
      <c r="K50" s="1432"/>
      <c r="L50" s="1043">
        <v>6001514</v>
      </c>
      <c r="M50" s="1043">
        <v>6001514</v>
      </c>
      <c r="N50" s="1372">
        <f t="shared" si="0"/>
        <v>0</v>
      </c>
      <c r="O50" s="1468"/>
    </row>
    <row r="51" spans="1:15" ht="15" x14ac:dyDescent="0.25">
      <c r="A51" s="1432"/>
      <c r="B51" s="1469" t="s">
        <v>2307</v>
      </c>
      <c r="C51" s="1470">
        <f>+('[15]Balance sheet groupings'!C61+'[15]Balance sheet groupings'!C62)-('[15]Balance sheet groupings'!C77+'[15]Balance sheet groupings'!C78)</f>
        <v>0.45188110999999953</v>
      </c>
      <c r="D51" s="1466">
        <f>+('[15]Balance sheet groupings'!E61+'[15]Balance sheet groupings'!E62)-('[15]Balance sheet groupings'!E77+'[15]Balance sheet groupings'!E78)</f>
        <v>2.5380567879999987</v>
      </c>
      <c r="E51" s="1467">
        <v>6.6259208020000031</v>
      </c>
      <c r="F51" s="1457"/>
      <c r="J51" t="s">
        <v>2308</v>
      </c>
      <c r="K51" s="1432"/>
      <c r="L51" s="1043">
        <v>1180907</v>
      </c>
      <c r="M51" s="1043">
        <v>1180907</v>
      </c>
      <c r="N51" s="1372">
        <f t="shared" si="0"/>
        <v>0</v>
      </c>
      <c r="O51" s="1468"/>
    </row>
    <row r="52" spans="1:15" ht="15" x14ac:dyDescent="0.25">
      <c r="A52" s="1432"/>
      <c r="B52" s="1469" t="s">
        <v>2309</v>
      </c>
      <c r="C52" s="1470">
        <f>+'[15]Balance sheet groupings'!C63-'[15]Balance sheet groupings'!C79</f>
        <v>0.90964447499999945</v>
      </c>
      <c r="D52" s="1466">
        <f>+'[15]Balance sheet groupings'!E63-'[15]Balance sheet groupings'!E79</f>
        <v>9.0326673450000072</v>
      </c>
      <c r="E52" s="1467">
        <v>13.767354273999999</v>
      </c>
      <c r="F52" s="1457"/>
      <c r="J52" t="s">
        <v>2310</v>
      </c>
      <c r="K52" s="1432"/>
      <c r="L52" s="1043">
        <v>2469122</v>
      </c>
      <c r="M52" s="1043">
        <v>1648429</v>
      </c>
      <c r="N52" s="1372">
        <f t="shared" si="0"/>
        <v>8.2069299999999998E-2</v>
      </c>
      <c r="O52" s="1468"/>
    </row>
    <row r="53" spans="1:15" ht="15" x14ac:dyDescent="0.25">
      <c r="A53" s="1432"/>
      <c r="B53" s="1469" t="s">
        <v>2311</v>
      </c>
      <c r="C53" s="1470">
        <f>+('[15]Balance sheet groupings'!C64+'[15]Balance sheet groupings'!C65)-('[15]Balance sheet groupings'!C80+'[15]Balance sheet groupings'!C81)</f>
        <v>3.9033099440000001</v>
      </c>
      <c r="D53" s="1466">
        <f>+('[15]Balance sheet groupings'!E64+'[15]Balance sheet groupings'!E65)-('[15]Balance sheet groupings'!E80+'[15]Balance sheet groupings'!E81)</f>
        <v>4.3747074950000027</v>
      </c>
      <c r="E53" s="1467">
        <v>26.258040270999999</v>
      </c>
      <c r="F53" s="1457"/>
      <c r="J53" t="s">
        <v>2312</v>
      </c>
      <c r="K53" s="1432"/>
      <c r="L53" s="1043">
        <v>969345.45</v>
      </c>
      <c r="M53" s="1043">
        <v>124515</v>
      </c>
      <c r="N53" s="1372">
        <f t="shared" si="0"/>
        <v>8.4483044999999993E-2</v>
      </c>
      <c r="O53" s="1468"/>
    </row>
    <row r="54" spans="1:15" ht="15" x14ac:dyDescent="0.25">
      <c r="A54" s="1432"/>
      <c r="B54" s="1469" t="s">
        <v>2313</v>
      </c>
      <c r="C54" s="1470">
        <f>+'[15]Balance sheet groupings'!C67-'[15]Balance sheet groupings'!C83</f>
        <v>0.69957583200000029</v>
      </c>
      <c r="D54" s="1466">
        <f>+'[15]Balance sheet groupings'!E67-'[15]Balance sheet groupings'!E83</f>
        <v>0.8114316920000002</v>
      </c>
      <c r="E54" s="1467">
        <v>1.825158616999996</v>
      </c>
      <c r="F54" s="1457"/>
      <c r="J54" t="s">
        <v>2314</v>
      </c>
      <c r="K54" s="1432"/>
      <c r="L54" s="1043">
        <v>6158465</v>
      </c>
      <c r="M54" s="1043">
        <v>6158465</v>
      </c>
      <c r="N54" s="1372">
        <f t="shared" si="0"/>
        <v>0</v>
      </c>
      <c r="O54" s="1468"/>
    </row>
    <row r="55" spans="1:15" ht="15" x14ac:dyDescent="0.25">
      <c r="A55" s="1432"/>
      <c r="B55" s="1469" t="s">
        <v>224</v>
      </c>
      <c r="C55" s="1470">
        <f>+'[15]Balance sheet groupings'!C68-'[15]Balance sheet groupings'!C84</f>
        <v>0.24742343399999989</v>
      </c>
      <c r="D55" s="1466">
        <f>+'[15]Balance sheet groupings'!E68-'[15]Balance sheet groupings'!E84</f>
        <v>0.31365551400000014</v>
      </c>
      <c r="E55" s="1467">
        <v>0.34313262600000005</v>
      </c>
      <c r="F55" s="1457"/>
      <c r="J55" t="s">
        <v>2315</v>
      </c>
      <c r="K55" s="1432"/>
      <c r="L55" s="1043">
        <v>1576981</v>
      </c>
      <c r="M55" s="1043">
        <v>791907</v>
      </c>
      <c r="N55" s="1372">
        <f t="shared" si="0"/>
        <v>7.8507400000000005E-2</v>
      </c>
      <c r="O55" s="1468"/>
    </row>
    <row r="56" spans="1:15" ht="15" x14ac:dyDescent="0.25">
      <c r="A56" s="1432"/>
      <c r="B56" s="1469" t="s">
        <v>266</v>
      </c>
      <c r="C56" s="1470">
        <f>+'[15]Balance sheet groupings'!C69-'[15]Balance sheet groupings'!C85</f>
        <v>7.77609199999999E-2</v>
      </c>
      <c r="D56" s="1466">
        <f>+'[15]Balance sheet groupings'!E69-'[15]Balance sheet groupings'!E85</f>
        <v>0.140523395</v>
      </c>
      <c r="E56" s="1467">
        <v>0.44549452099999964</v>
      </c>
      <c r="F56" s="1457"/>
      <c r="J56" t="s">
        <v>2316</v>
      </c>
      <c r="K56" s="1432"/>
      <c r="L56" s="1043">
        <v>10881684.710000001</v>
      </c>
      <c r="M56" s="1043">
        <v>9548242.5500000007</v>
      </c>
      <c r="N56" s="1372">
        <f t="shared" si="0"/>
        <v>0.13334421600000002</v>
      </c>
      <c r="O56" s="1468"/>
    </row>
    <row r="57" spans="1:15" ht="15" x14ac:dyDescent="0.25">
      <c r="A57" s="1432"/>
      <c r="B57" s="1469" t="s">
        <v>2317</v>
      </c>
      <c r="C57" s="1470">
        <f>+'[15]Balance sheet groupings'!C70-'[15]Balance sheet groupings'!C86</f>
        <v>0.29901425500000034</v>
      </c>
      <c r="D57" s="1466">
        <f>+'[15]Balance sheet groupings'!E70-'[15]Balance sheet groupings'!E86</f>
        <v>0.45699657599999988</v>
      </c>
      <c r="E57" s="1467">
        <v>0.98913453299999965</v>
      </c>
      <c r="F57" s="1457"/>
      <c r="J57" t="s">
        <v>2318</v>
      </c>
      <c r="K57" s="1432"/>
      <c r="L57" s="1043">
        <v>486051</v>
      </c>
      <c r="M57" s="1043">
        <v>486051</v>
      </c>
      <c r="N57" s="1372">
        <f t="shared" si="0"/>
        <v>0</v>
      </c>
      <c r="O57" s="1468"/>
    </row>
    <row r="58" spans="1:15" ht="15" x14ac:dyDescent="0.25">
      <c r="A58" s="1432"/>
      <c r="B58" s="1469" t="s">
        <v>2319</v>
      </c>
      <c r="C58" s="1471">
        <f>+'[15]Balance sheet groupings'!C71-'[15]Balance sheet groupings'!C87</f>
        <v>4.4461520000000032E-2</v>
      </c>
      <c r="D58" s="1466">
        <f>+'[15]Balance sheet groupings'!E71-'[15]Balance sheet groupings'!E87</f>
        <v>4.4461520000000032E-2</v>
      </c>
      <c r="E58" s="1467">
        <v>6.6403979999999974E-2</v>
      </c>
      <c r="F58" s="1457"/>
      <c r="J58" t="s">
        <v>2320</v>
      </c>
      <c r="K58" s="1432"/>
      <c r="L58" s="1043">
        <v>425328</v>
      </c>
      <c r="M58" s="1043">
        <v>425328</v>
      </c>
      <c r="N58" s="1372">
        <f t="shared" si="0"/>
        <v>0</v>
      </c>
      <c r="O58" s="1468"/>
    </row>
    <row r="59" spans="1:15" ht="15" x14ac:dyDescent="0.25">
      <c r="A59" s="1432"/>
      <c r="B59" s="1472" t="s">
        <v>2321</v>
      </c>
      <c r="C59" s="1473">
        <f>-'[15]Balance sheet groupings'!C89</f>
        <v>-18.734084325000001</v>
      </c>
      <c r="D59" s="1466">
        <f>-'[15]Balance sheet groupings'!E89</f>
        <v>-22.086150316999998</v>
      </c>
      <c r="E59" s="1467">
        <v>21.174538409</v>
      </c>
      <c r="F59" s="1457"/>
      <c r="J59" t="s">
        <v>2322</v>
      </c>
      <c r="K59" s="1432"/>
      <c r="L59" s="1043">
        <v>596613</v>
      </c>
      <c r="M59" s="1043">
        <v>596613</v>
      </c>
      <c r="N59" s="1372">
        <f t="shared" si="0"/>
        <v>0</v>
      </c>
      <c r="O59" s="1468"/>
    </row>
    <row r="60" spans="1:15" ht="15" x14ac:dyDescent="0.25">
      <c r="A60" s="1432"/>
      <c r="B60" s="1474" t="s">
        <v>7</v>
      </c>
      <c r="C60" s="1475">
        <f>SUM(C50:C59)</f>
        <v>42.187014743000034</v>
      </c>
      <c r="D60" s="1476">
        <f>SUM(D50:D59)</f>
        <v>119.54817991199999</v>
      </c>
      <c r="E60" s="1477">
        <f>SUM(E50:E58)-E59</f>
        <v>225.82640861699991</v>
      </c>
      <c r="F60" s="1478"/>
      <c r="G60" s="1433">
        <f>+'[15]balance sheet P&amp;L'!D28-C60</f>
        <v>-1.2789769243681803E-13</v>
      </c>
      <c r="H60" s="1433">
        <f>+'[15]balance sheet P&amp;L'!E28-D60</f>
        <v>0</v>
      </c>
      <c r="J60" t="s">
        <v>2323</v>
      </c>
      <c r="K60" s="1432"/>
      <c r="L60">
        <v>0</v>
      </c>
      <c r="M60">
        <v>0</v>
      </c>
      <c r="N60" s="1372">
        <f t="shared" si="0"/>
        <v>0</v>
      </c>
      <c r="O60" s="1479"/>
    </row>
    <row r="61" spans="1:15" ht="75.75" customHeight="1" x14ac:dyDescent="0.25">
      <c r="A61" s="1432"/>
      <c r="B61" s="2013" t="s">
        <v>2324</v>
      </c>
      <c r="C61" s="2013"/>
      <c r="D61" s="2013"/>
      <c r="E61" s="2014"/>
      <c r="J61" t="s">
        <v>2325</v>
      </c>
      <c r="K61" s="1432"/>
      <c r="L61" s="1043">
        <v>791808.01</v>
      </c>
      <c r="M61" s="1043"/>
      <c r="N61" s="1352">
        <f t="shared" si="0"/>
        <v>7.9180800999999995E-2</v>
      </c>
      <c r="O61" s="1480"/>
    </row>
    <row r="62" spans="1:15" ht="15" x14ac:dyDescent="0.25">
      <c r="A62" s="1432"/>
      <c r="J62" t="s">
        <v>2326</v>
      </c>
      <c r="L62" s="1043">
        <v>686897</v>
      </c>
      <c r="M62" s="1043">
        <v>686897</v>
      </c>
      <c r="N62" s="1352">
        <f t="shared" si="0"/>
        <v>0</v>
      </c>
    </row>
    <row r="63" spans="1:15" ht="15" x14ac:dyDescent="0.25">
      <c r="A63" s="1432"/>
      <c r="J63" t="s">
        <v>2327</v>
      </c>
      <c r="L63" s="1043">
        <v>9665</v>
      </c>
      <c r="M63" s="1043">
        <v>9665</v>
      </c>
      <c r="N63" s="1352">
        <f t="shared" si="0"/>
        <v>0</v>
      </c>
    </row>
    <row r="64" spans="1:15" ht="15" x14ac:dyDescent="0.25">
      <c r="A64" s="1432"/>
    </row>
    <row r="65" spans="1:1" ht="15" x14ac:dyDescent="0.25">
      <c r="A65" s="1432"/>
    </row>
    <row r="66" spans="1:1" ht="15" x14ac:dyDescent="0.25">
      <c r="A66" s="1432"/>
    </row>
    <row r="67" spans="1:1" ht="15" x14ac:dyDescent="0.25">
      <c r="A67" s="1432"/>
    </row>
    <row r="68" spans="1:1" ht="15" x14ac:dyDescent="0.25">
      <c r="A68" s="1432"/>
    </row>
    <row r="69" spans="1:1" ht="15" x14ac:dyDescent="0.25">
      <c r="A69" s="1432"/>
    </row>
    <row r="70" spans="1:1" ht="15" x14ac:dyDescent="0.25">
      <c r="A70" s="1432"/>
    </row>
    <row r="71" spans="1:1" ht="15" x14ac:dyDescent="0.25">
      <c r="A71" s="1432"/>
    </row>
    <row r="72" spans="1:1" ht="15" x14ac:dyDescent="0.25">
      <c r="A72" s="1432"/>
    </row>
    <row r="73" spans="1:1" ht="15" x14ac:dyDescent="0.25">
      <c r="A73" s="1432"/>
    </row>
    <row r="74" spans="1:1" ht="15" x14ac:dyDescent="0.25">
      <c r="A74" s="1432"/>
    </row>
    <row r="75" spans="1:1" ht="15" x14ac:dyDescent="0.25">
      <c r="A75" s="1432"/>
    </row>
    <row r="76" spans="1:1" ht="15" x14ac:dyDescent="0.25">
      <c r="A76" s="1432"/>
    </row>
    <row r="77" spans="1:1" ht="15" x14ac:dyDescent="0.25">
      <c r="A77" s="1432"/>
    </row>
    <row r="78" spans="1:1" ht="15" x14ac:dyDescent="0.25">
      <c r="A78" s="1432"/>
    </row>
    <row r="79" spans="1:1" ht="15" x14ac:dyDescent="0.25">
      <c r="A79" s="1432"/>
    </row>
    <row r="80" spans="1:1" ht="15" x14ac:dyDescent="0.25">
      <c r="A80" s="1432"/>
    </row>
    <row r="81" spans="1:1" ht="15" x14ac:dyDescent="0.25">
      <c r="A81" s="1432"/>
    </row>
    <row r="82" spans="1:1" ht="15" x14ac:dyDescent="0.25">
      <c r="A82" s="1432"/>
    </row>
    <row r="83" spans="1:1" ht="15" x14ac:dyDescent="0.25">
      <c r="A83" s="1432"/>
    </row>
    <row r="84" spans="1:1" ht="15" x14ac:dyDescent="0.25">
      <c r="A84" s="1432"/>
    </row>
    <row r="85" spans="1:1" ht="15" x14ac:dyDescent="0.25">
      <c r="A85" s="1432"/>
    </row>
  </sheetData>
  <mergeCells count="1">
    <mergeCell ref="B61:E6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topLeftCell="A46" workbookViewId="0">
      <selection activeCell="D61" sqref="D61"/>
    </sheetView>
  </sheetViews>
  <sheetFormatPr defaultColWidth="9.140625" defaultRowHeight="14.25" x14ac:dyDescent="0.2"/>
  <cols>
    <col min="1" max="1" width="55.7109375" style="1522" customWidth="1"/>
    <col min="2" max="2" width="13.85546875" style="1522" customWidth="1"/>
    <col min="3" max="3" width="10.42578125" style="1522" customWidth="1"/>
    <col min="4" max="5" width="23.7109375" style="1522" customWidth="1"/>
    <col min="6" max="6" width="21.7109375" style="1522" customWidth="1"/>
    <col min="7" max="7" width="15.5703125" style="1522" customWidth="1"/>
    <col min="8" max="8" width="18.5703125" style="808" customWidth="1"/>
    <col min="9" max="13" width="9.140625" style="808" customWidth="1"/>
    <col min="14" max="14" width="55.42578125" style="808" bestFit="1" customWidth="1"/>
    <col min="15" max="15" width="15.140625" style="808" bestFit="1" customWidth="1"/>
    <col min="16" max="16" width="12.85546875" style="808" bestFit="1" customWidth="1"/>
    <col min="17" max="17" width="9.140625" style="808"/>
    <col min="18" max="18" width="15.140625" style="808" bestFit="1" customWidth="1"/>
    <col min="19" max="19" width="9.42578125" style="808" bestFit="1" customWidth="1"/>
    <col min="20" max="20" width="14.85546875" style="1522" bestFit="1" customWidth="1"/>
    <col min="21" max="21" width="9.140625" style="1522"/>
    <col min="22" max="22" width="10.28515625" style="1522" bestFit="1" customWidth="1"/>
    <col min="23" max="16384" width="9.140625" style="1522"/>
  </cols>
  <sheetData>
    <row r="1" spans="1:20" ht="15.75" x14ac:dyDescent="0.2">
      <c r="A1" s="2018" t="str">
        <f>'[15]balance sheet P&amp;L'!B1</f>
        <v>MAHARASHTRA STATE POWER GENERATION COMPANY LIMITED [CIN -U40100MH2005SGC153648]</v>
      </c>
      <c r="B1" s="2019"/>
      <c r="C1" s="2019"/>
      <c r="D1" s="2019"/>
      <c r="E1" s="2020"/>
      <c r="F1" s="1521"/>
      <c r="G1" s="1521"/>
    </row>
    <row r="2" spans="1:20" ht="15.75" x14ac:dyDescent="0.2">
      <c r="A2" s="2021" t="s">
        <v>2353</v>
      </c>
      <c r="B2" s="2022"/>
      <c r="C2" s="2022"/>
      <c r="D2" s="2022"/>
      <c r="E2" s="2023"/>
      <c r="F2" s="1521"/>
      <c r="G2" s="1521"/>
      <c r="R2" s="1315"/>
    </row>
    <row r="3" spans="1:20" ht="16.5" thickBot="1" x14ac:dyDescent="0.25">
      <c r="A3" s="1523"/>
      <c r="B3" s="1524"/>
      <c r="C3" s="1524"/>
      <c r="D3" s="1524"/>
      <c r="E3" s="1525" t="s">
        <v>547</v>
      </c>
      <c r="F3" s="1521"/>
      <c r="G3" s="1521"/>
      <c r="R3" s="1315"/>
    </row>
    <row r="4" spans="1:20" ht="33.75" customHeight="1" thickBot="1" x14ac:dyDescent="0.25">
      <c r="A4" s="1526"/>
      <c r="B4" s="1527"/>
      <c r="C4" s="1527"/>
      <c r="D4" s="1528" t="str">
        <f>+'[15]balance sheet P&amp;L'!$D$78</f>
        <v xml:space="preserve">2023-24 </v>
      </c>
      <c r="E4" s="1529" t="str">
        <f>+'[15]balance sheet P&amp;L'!$E$78</f>
        <v>2022-23 (RESTATED)</v>
      </c>
      <c r="G4" s="1521"/>
    </row>
    <row r="5" spans="1:20" ht="14.25" hidden="1" customHeight="1" x14ac:dyDescent="0.2">
      <c r="A5" s="1530"/>
      <c r="B5" s="1531"/>
      <c r="C5" s="1531"/>
      <c r="D5" s="1532"/>
      <c r="E5" s="1533"/>
      <c r="G5" s="1521"/>
      <c r="N5" s="808" t="str">
        <f>+'[15]balance sheet P&amp;L'!B4</f>
        <v>ASSETS</v>
      </c>
      <c r="O5" s="808">
        <f>+'[15]balance sheet P&amp;L'!D4</f>
        <v>0</v>
      </c>
      <c r="P5" s="808">
        <f>+'[15]balance sheet P&amp;L'!E4</f>
        <v>0</v>
      </c>
    </row>
    <row r="6" spans="1:20" ht="15.75" x14ac:dyDescent="0.2">
      <c r="A6" s="1534" t="s">
        <v>2354</v>
      </c>
      <c r="B6" s="1535"/>
      <c r="C6" s="1535"/>
      <c r="D6" s="1536"/>
      <c r="E6" s="1537"/>
      <c r="G6" s="1521"/>
      <c r="N6" s="808" t="str">
        <f>+'[15]balance sheet P&amp;L'!B5</f>
        <v>Non-Current Assets</v>
      </c>
      <c r="O6" s="808">
        <f>+'[15]balance sheet P&amp;L'!D5</f>
        <v>0</v>
      </c>
      <c r="P6" s="808">
        <f>+'[15]balance sheet P&amp;L'!E5</f>
        <v>0</v>
      </c>
      <c r="T6" s="1538">
        <f>+D7</f>
        <v>45.017248804008943</v>
      </c>
    </row>
    <row r="7" spans="1:20" ht="15.75" x14ac:dyDescent="0.2">
      <c r="A7" s="1539" t="s">
        <v>2355</v>
      </c>
      <c r="B7" s="1540"/>
      <c r="C7" s="1540"/>
      <c r="D7" s="1541">
        <f>+'[15]balance sheet P&amp;L'!D109</f>
        <v>45.017248804008943</v>
      </c>
      <c r="E7" s="1542">
        <v>-810.82052673700082</v>
      </c>
      <c r="F7" s="1521"/>
      <c r="G7" s="1521"/>
      <c r="H7" s="1543"/>
      <c r="N7" s="808" t="str">
        <f>+'[15]balance sheet P&amp;L'!B6</f>
        <v xml:space="preserve">    Property, Plant &amp; Equipment</v>
      </c>
      <c r="O7" s="808">
        <f>+'[15]balance sheet P&amp;L'!D6</f>
        <v>29253.386923038997</v>
      </c>
      <c r="P7" s="808">
        <f>+'[15]balance sheet P&amp;L'!E6</f>
        <v>31031.659995595001</v>
      </c>
      <c r="R7" s="808">
        <f>+O7-P7</f>
        <v>-1778.2730725560032</v>
      </c>
      <c r="S7" s="1315">
        <f>+R7+R10+R12+R13+D10</f>
        <v>2413.3763462909965</v>
      </c>
    </row>
    <row r="8" spans="1:20" ht="15.75" x14ac:dyDescent="0.2">
      <c r="A8" s="1530"/>
      <c r="B8" s="1531"/>
      <c r="C8" s="1531"/>
      <c r="D8" s="1541"/>
      <c r="E8" s="1544"/>
      <c r="G8" s="1521"/>
      <c r="H8" s="1543"/>
    </row>
    <row r="9" spans="1:20" ht="15.75" customHeight="1" x14ac:dyDescent="0.2">
      <c r="A9" s="2024" t="s">
        <v>2356</v>
      </c>
      <c r="B9" s="2025"/>
      <c r="C9" s="2025"/>
      <c r="D9" s="1541"/>
      <c r="E9" s="1544"/>
      <c r="G9" s="1521"/>
      <c r="H9" s="1543"/>
    </row>
    <row r="10" spans="1:20" ht="15" x14ac:dyDescent="0.2">
      <c r="A10" s="1539" t="s">
        <v>2357</v>
      </c>
      <c r="B10" s="1540"/>
      <c r="C10" s="1540"/>
      <c r="D10" s="1545">
        <f>+'[15]balance sheet P&amp;L'!D90</f>
        <v>2687.7448922469998</v>
      </c>
      <c r="E10" s="1544">
        <v>2842.8386249599998</v>
      </c>
      <c r="G10" s="1521"/>
      <c r="H10" s="1543"/>
      <c r="N10" s="808" t="str">
        <f>+'[15]balance sheet P&amp;L'!B7</f>
        <v xml:space="preserve">    Capital work in progress</v>
      </c>
      <c r="O10" s="808">
        <f>+'[15]balance sheet P&amp;L'!D7</f>
        <v>7195.0995502320002</v>
      </c>
      <c r="P10" s="808">
        <f>+'[15]balance sheet P&amp;L'!E7</f>
        <v>5757.2913941300003</v>
      </c>
      <c r="R10" s="808">
        <f t="shared" ref="R10:R57" si="0">+O10-P10</f>
        <v>1437.8081561019999</v>
      </c>
    </row>
    <row r="11" spans="1:20" ht="15" hidden="1" x14ac:dyDescent="0.2">
      <c r="A11" s="1539" t="s">
        <v>2358</v>
      </c>
      <c r="B11" s="1540"/>
      <c r="C11" s="1540"/>
      <c r="D11" s="1545"/>
      <c r="E11" s="1544"/>
      <c r="G11" s="1521"/>
      <c r="H11" s="1543"/>
      <c r="N11" s="808" t="str">
        <f>+'[15]balance sheet P&amp;L'!B8</f>
        <v xml:space="preserve">    Right to use assets</v>
      </c>
      <c r="O11" s="808">
        <f>+'[15]balance sheet P&amp;L'!D8</f>
        <v>3288.1758949000005</v>
      </c>
      <c r="P11" s="808">
        <f>+'[15]balance sheet P&amp;L'!E8</f>
        <v>3419.2373834</v>
      </c>
      <c r="R11" s="808">
        <f t="shared" si="0"/>
        <v>-131.06148849999954</v>
      </c>
    </row>
    <row r="12" spans="1:20" ht="15" hidden="1" x14ac:dyDescent="0.2">
      <c r="A12" s="1539" t="s">
        <v>2359</v>
      </c>
      <c r="B12" s="1540"/>
      <c r="C12" s="1540"/>
      <c r="D12" s="1545"/>
      <c r="E12" s="1544"/>
      <c r="G12" s="1521"/>
      <c r="H12" s="1543"/>
      <c r="N12" s="808" t="str">
        <f>+'[15]balance sheet P&amp;L'!B9</f>
        <v xml:space="preserve">    Intangible assets</v>
      </c>
      <c r="O12" s="808">
        <f>+'[15]balance sheet P&amp;L'!D9</f>
        <v>2.4729597610000056</v>
      </c>
      <c r="P12" s="808">
        <f>+'[15]balance sheet P&amp;L'!E9</f>
        <v>4.2940700679999964</v>
      </c>
      <c r="R12" s="808">
        <f t="shared" si="0"/>
        <v>-1.8211103069999908</v>
      </c>
    </row>
    <row r="13" spans="1:20" ht="15" hidden="1" x14ac:dyDescent="0.2">
      <c r="A13" s="1539" t="s">
        <v>2360</v>
      </c>
      <c r="B13" s="1540"/>
      <c r="C13" s="1540"/>
      <c r="D13" s="1545"/>
      <c r="E13" s="1544"/>
      <c r="G13" s="1521"/>
      <c r="H13" s="1543"/>
      <c r="N13" s="808" t="str">
        <f>+'[15]balance sheet P&amp;L'!B10</f>
        <v xml:space="preserve">    Intangible assets under development</v>
      </c>
      <c r="O13" s="808">
        <f>+'[15]balance sheet P&amp;L'!D10</f>
        <v>642.07934182600002</v>
      </c>
      <c r="P13" s="808">
        <f>+'[15]balance sheet P&amp;L'!E10</f>
        <v>574.16186102100005</v>
      </c>
      <c r="R13" s="808">
        <f t="shared" si="0"/>
        <v>67.917480804999968</v>
      </c>
    </row>
    <row r="14" spans="1:20" ht="15" hidden="1" x14ac:dyDescent="0.2">
      <c r="A14" s="1539" t="s">
        <v>2361</v>
      </c>
      <c r="B14" s="1540"/>
      <c r="C14" s="1540"/>
      <c r="D14" s="1545"/>
      <c r="E14" s="1544"/>
      <c r="F14" s="1521"/>
      <c r="G14" s="1521"/>
      <c r="H14" s="1543"/>
      <c r="N14" s="808" t="str">
        <f>+'[15]balance sheet P&amp;L'!B11</f>
        <v xml:space="preserve">    Financial Assets</v>
      </c>
      <c r="O14" s="808">
        <f>+'[15]balance sheet P&amp;L'!D11</f>
        <v>0</v>
      </c>
      <c r="P14" s="808">
        <f>+'[15]balance sheet P&amp;L'!E11</f>
        <v>0</v>
      </c>
      <c r="R14" s="808">
        <f t="shared" si="0"/>
        <v>0</v>
      </c>
    </row>
    <row r="15" spans="1:20" ht="15" hidden="1" x14ac:dyDescent="0.2">
      <c r="A15" s="1539" t="s">
        <v>2362</v>
      </c>
      <c r="B15" s="1540"/>
      <c r="C15" s="1540"/>
      <c r="D15" s="1545"/>
      <c r="E15" s="1544"/>
      <c r="G15" s="1521"/>
      <c r="H15" s="1543"/>
      <c r="N15" s="808" t="str">
        <f>+'[15]balance sheet P&amp;L'!B12</f>
        <v xml:space="preserve">        - Investment in subsidiaries and associates</v>
      </c>
      <c r="O15" s="808">
        <f>+'[15]balance sheet P&amp;L'!D12</f>
        <v>2.6698617039999997</v>
      </c>
      <c r="P15" s="808">
        <f>+'[15]balance sheet P&amp;L'!E12</f>
        <v>2.3909302000000072</v>
      </c>
      <c r="R15" s="808">
        <f t="shared" si="0"/>
        <v>0.27893150399999245</v>
      </c>
    </row>
    <row r="16" spans="1:20" ht="15" hidden="1" x14ac:dyDescent="0.2">
      <c r="A16" s="1539" t="s">
        <v>2363</v>
      </c>
      <c r="B16" s="1540"/>
      <c r="C16" s="1540"/>
      <c r="D16" s="1545"/>
      <c r="E16" s="1544"/>
      <c r="G16" s="1521"/>
      <c r="H16" s="1543"/>
      <c r="S16" s="1315"/>
    </row>
    <row r="17" spans="1:20" ht="15" hidden="1" x14ac:dyDescent="0.2">
      <c r="A17" s="1539" t="s">
        <v>2364</v>
      </c>
      <c r="B17" s="1540"/>
      <c r="C17" s="1540"/>
      <c r="D17" s="1545"/>
      <c r="E17" s="1544"/>
      <c r="G17" s="1521"/>
      <c r="H17" s="1543"/>
      <c r="N17" s="808" t="str">
        <f>+'[15]balance sheet P&amp;L'!B16</f>
        <v xml:space="preserve">    Other non-current assets</v>
      </c>
      <c r="O17" s="808">
        <f>+'[15]balance sheet P&amp;L'!D16</f>
        <v>748.92926908000163</v>
      </c>
      <c r="P17" s="808">
        <f>+'[15]balance sheet P&amp;L'!E16</f>
        <v>621.92883314599999</v>
      </c>
      <c r="R17" s="808">
        <f t="shared" si="0"/>
        <v>127.00043593400164</v>
      </c>
    </row>
    <row r="18" spans="1:20" ht="15" hidden="1" x14ac:dyDescent="0.2">
      <c r="A18" s="1539" t="s">
        <v>2365</v>
      </c>
      <c r="B18" s="1540"/>
      <c r="C18" s="1540"/>
      <c r="D18" s="1545"/>
      <c r="E18" s="1544"/>
      <c r="G18" s="1521"/>
      <c r="H18" s="1543"/>
      <c r="N18" s="808" t="str">
        <f>+'[15]balance sheet P&amp;L'!B17</f>
        <v xml:space="preserve">   Total Non Current Assets</v>
      </c>
      <c r="O18" s="808">
        <f>+'[15]balance sheet P&amp;L'!D17</f>
        <v>45627.08371752088</v>
      </c>
      <c r="P18" s="808">
        <f>+'[15]balance sheet P&amp;L'!E17</f>
        <v>48758.364490299733</v>
      </c>
      <c r="R18" s="808">
        <f t="shared" si="0"/>
        <v>-3131.2807727788531</v>
      </c>
    </row>
    <row r="19" spans="1:20" ht="15" x14ac:dyDescent="0.2">
      <c r="A19" s="1539" t="s">
        <v>2366</v>
      </c>
      <c r="B19" s="1540"/>
      <c r="C19" s="1540"/>
      <c r="D19" s="1545">
        <f>'[15]balance sheet P&amp;L'!D89</f>
        <v>3610.9410095520002</v>
      </c>
      <c r="E19" s="1544">
        <v>3493.1497996790008</v>
      </c>
      <c r="G19" s="1521"/>
      <c r="H19" s="1543"/>
      <c r="N19" s="808" t="str">
        <f>+'[15]balance sheet P&amp;L'!B18</f>
        <v>Current Assets</v>
      </c>
      <c r="O19" s="808">
        <f>+'[15]balance sheet P&amp;L'!D18</f>
        <v>0</v>
      </c>
      <c r="P19" s="808">
        <f>+'[15]balance sheet P&amp;L'!E18</f>
        <v>0</v>
      </c>
      <c r="R19" s="808">
        <f t="shared" si="0"/>
        <v>0</v>
      </c>
    </row>
    <row r="20" spans="1:20" ht="15" x14ac:dyDescent="0.2">
      <c r="A20" s="1539" t="s">
        <v>2367</v>
      </c>
      <c r="B20" s="1540"/>
      <c r="C20" s="1540"/>
      <c r="D20" s="1545">
        <f>(-'[15]Profit &amp; Loss Grouping'!D77+'[15]Profit &amp; Loss Grouping'!E318)</f>
        <v>1.899663E-3</v>
      </c>
      <c r="E20" s="1544">
        <v>5.5115138110000004</v>
      </c>
      <c r="G20" s="1521"/>
      <c r="H20" s="1543"/>
      <c r="N20" s="808" t="str">
        <f>+'[15]balance sheet P&amp;L'!B19</f>
        <v xml:space="preserve">    Inventories</v>
      </c>
      <c r="O20" s="808">
        <f>+'[15]balance sheet P&amp;L'!D19</f>
        <v>2943.5795060349997</v>
      </c>
      <c r="P20" s="808">
        <f>+'[15]balance sheet P&amp;L'!E19</f>
        <v>2114.7825896700001</v>
      </c>
      <c r="R20" s="808">
        <f t="shared" si="0"/>
        <v>828.79691636499956</v>
      </c>
    </row>
    <row r="21" spans="1:20" ht="15" x14ac:dyDescent="0.2">
      <c r="A21" s="1539" t="s">
        <v>2368</v>
      </c>
      <c r="B21" s="1540"/>
      <c r="C21" s="1540"/>
      <c r="D21" s="1545">
        <f>+'[15]balance sheet P&amp;L'!D434</f>
        <v>47.370661446</v>
      </c>
      <c r="E21" s="1544">
        <v>10.746824050000001</v>
      </c>
      <c r="G21" s="1521"/>
      <c r="H21" s="1543"/>
      <c r="N21" s="808" t="str">
        <f>+'[15]balance sheet P&amp;L'!B20</f>
        <v xml:space="preserve">    Financial Assets</v>
      </c>
      <c r="O21" s="808">
        <f>+'[15]balance sheet P&amp;L'!D20</f>
        <v>0</v>
      </c>
      <c r="P21" s="808">
        <f>+'[15]balance sheet P&amp;L'!E20</f>
        <v>0</v>
      </c>
      <c r="R21" s="808">
        <f t="shared" si="0"/>
        <v>0</v>
      </c>
    </row>
    <row r="22" spans="1:20" ht="15" hidden="1" x14ac:dyDescent="0.2">
      <c r="A22" s="1539" t="s">
        <v>2369</v>
      </c>
      <c r="B22" s="1540"/>
      <c r="C22" s="1540"/>
      <c r="D22" s="1545"/>
      <c r="E22" s="1544"/>
      <c r="F22" s="1521"/>
      <c r="G22" s="1521"/>
      <c r="H22" s="1543"/>
    </row>
    <row r="23" spans="1:20" ht="15" x14ac:dyDescent="0.2">
      <c r="A23" s="1539" t="s">
        <v>2370</v>
      </c>
      <c r="B23" s="1540"/>
      <c r="C23" s="1540"/>
      <c r="D23" s="1545">
        <f>-'[15]balance sheet P&amp;L'!D369</f>
        <v>-5.85865E-2</v>
      </c>
      <c r="E23" s="1544">
        <f>-'[15]balance sheet P&amp;L'!E369</f>
        <v>-0.22902478000000004</v>
      </c>
      <c r="G23" s="1521"/>
      <c r="H23" s="1543"/>
      <c r="N23" s="808" t="str">
        <f>+'[15]balance sheet P&amp;L'!B21</f>
        <v xml:space="preserve">          - Trade receivables  </v>
      </c>
      <c r="O23" s="808">
        <f>+'[15]balance sheet P&amp;L'!D21</f>
        <v>26924.051353812123</v>
      </c>
      <c r="P23" s="808">
        <f>+'[15]balance sheet P&amp;L'!E21</f>
        <v>22720.473888327273</v>
      </c>
      <c r="R23" s="808">
        <f t="shared" si="0"/>
        <v>4203.5774654848501</v>
      </c>
    </row>
    <row r="24" spans="1:20" ht="15" x14ac:dyDescent="0.2">
      <c r="A24" s="1539" t="s">
        <v>2371</v>
      </c>
      <c r="B24" s="1540"/>
      <c r="C24" s="1540"/>
      <c r="D24" s="1546">
        <f>(+'[15]balance sheet P&amp;L'!D208-'[15]balance sheet P&amp;L'!E208)</f>
        <v>-24.643959694000046</v>
      </c>
      <c r="E24" s="1547">
        <f>+'[15]balance sheet P&amp;L'!E208-'[15]balance sheet P&amp;L'!F208</f>
        <v>16.286792219000006</v>
      </c>
      <c r="G24" s="1521"/>
      <c r="H24" s="1543"/>
      <c r="N24" s="808" t="str">
        <f>+'[15]balance sheet P&amp;L'!B22</f>
        <v xml:space="preserve">          - Cash and cash equivalents</v>
      </c>
      <c r="O24" s="808">
        <f>+'[15]balance sheet P&amp;L'!D22</f>
        <v>6.8494287649999981</v>
      </c>
      <c r="P24" s="808">
        <f>+'[15]balance sheet P&amp;L'!E22</f>
        <v>263.67808044699996</v>
      </c>
      <c r="R24" s="808">
        <f t="shared" si="0"/>
        <v>-256.82865168199999</v>
      </c>
    </row>
    <row r="25" spans="1:20" ht="15.75" x14ac:dyDescent="0.2">
      <c r="A25" s="1548" t="s">
        <v>2372</v>
      </c>
      <c r="B25" s="1549"/>
      <c r="C25" s="1549"/>
      <c r="D25" s="1541">
        <f>SUM(D7:D24)</f>
        <v>6366.3731655180081</v>
      </c>
      <c r="E25" s="1542">
        <f>SUM(E7:E24)</f>
        <v>5557.4840032020002</v>
      </c>
      <c r="G25" s="1521"/>
      <c r="H25" s="1543"/>
      <c r="N25" s="808" t="str">
        <f>+'[15]balance sheet P&amp;L'!B23</f>
        <v xml:space="preserve">          - Loans</v>
      </c>
      <c r="O25" s="808">
        <f>+'[15]balance sheet P&amp;L'!D23</f>
        <v>1.8876684990000001</v>
      </c>
      <c r="P25" s="808">
        <f>+'[15]balance sheet P&amp;L'!E23</f>
        <v>1.781401367</v>
      </c>
      <c r="R25" s="808">
        <f t="shared" si="0"/>
        <v>0.10626713200000015</v>
      </c>
      <c r="T25" s="1538">
        <f>+T6</f>
        <v>45.017248804008943</v>
      </c>
    </row>
    <row r="26" spans="1:20" ht="15" customHeight="1" x14ac:dyDescent="0.2">
      <c r="A26" s="1530"/>
      <c r="B26" s="1531"/>
      <c r="C26" s="1531"/>
      <c r="D26" s="1541"/>
      <c r="E26" s="1544"/>
      <c r="G26" s="1521"/>
      <c r="H26" s="1543"/>
      <c r="N26" s="808" t="str">
        <f>+'[15]balance sheet P&amp;L'!B24</f>
        <v xml:space="preserve">          - Other financial assets</v>
      </c>
      <c r="O26" s="808">
        <f>+'[15]balance sheet P&amp;L'!D24</f>
        <v>515.13831682600005</v>
      </c>
      <c r="P26" s="808">
        <f>+'[15]balance sheet P&amp;L'!E24</f>
        <v>298.79666472300005</v>
      </c>
      <c r="R26" s="808">
        <f t="shared" si="0"/>
        <v>216.341652103</v>
      </c>
    </row>
    <row r="27" spans="1:20" ht="15.75" x14ac:dyDescent="0.2">
      <c r="A27" s="1548" t="s">
        <v>2373</v>
      </c>
      <c r="B27" s="1549"/>
      <c r="C27" s="1549"/>
      <c r="D27" s="1541"/>
      <c r="E27" s="1544"/>
      <c r="G27" s="1521"/>
      <c r="H27" s="1543"/>
      <c r="N27" s="808" t="str">
        <f>+'[15]balance sheet P&amp;L'!B25</f>
        <v xml:space="preserve">    Other current assets</v>
      </c>
      <c r="O27" s="808">
        <f>+'[15]balance sheet P&amp;L'!D25</f>
        <v>832.79298728799995</v>
      </c>
      <c r="P27" s="808">
        <f>+'[15]balance sheet P&amp;L'!E25</f>
        <v>933.14046157000007</v>
      </c>
      <c r="R27" s="808">
        <f t="shared" si="0"/>
        <v>-100.34747428200012</v>
      </c>
    </row>
    <row r="28" spans="1:20" ht="15" x14ac:dyDescent="0.2">
      <c r="A28" s="1539" t="s">
        <v>2374</v>
      </c>
      <c r="B28" s="1540"/>
      <c r="C28" s="1540"/>
      <c r="D28" s="1545">
        <f>-('[15]balance sheet P&amp;L'!M21+'[15]balance sheet P&amp;L'!M14)-D21</f>
        <v>-1335.0889919700005</v>
      </c>
      <c r="E28" s="1544">
        <v>-3120.8703763300018</v>
      </c>
      <c r="G28" s="1521"/>
      <c r="H28" s="1543"/>
      <c r="N28" s="808" t="str">
        <f>+'[15]balance sheet P&amp;L'!B28</f>
        <v xml:space="preserve">    Assets classified as held for sale / disposal</v>
      </c>
      <c r="O28" s="808">
        <f>+'[15]balance sheet P&amp;L'!D28</f>
        <v>42.187014742999907</v>
      </c>
      <c r="P28" s="808">
        <f>+'[15]balance sheet P&amp;L'!E28</f>
        <v>119.54817991200002</v>
      </c>
      <c r="R28" s="808">
        <f t="shared" si="0"/>
        <v>-77.361165169000117</v>
      </c>
      <c r="S28" s="808">
        <f>+R7+R10+R16+R20+R23+R25+R26+R27+R28+R12+R13+R15+R17</f>
        <v>4924.0244831158489</v>
      </c>
      <c r="T28" s="1522">
        <f>-(+R16+R23)</f>
        <v>-4203.5774654848501</v>
      </c>
    </row>
    <row r="29" spans="1:20" ht="15" x14ac:dyDescent="0.2">
      <c r="A29" s="1539" t="s">
        <v>2375</v>
      </c>
      <c r="B29" s="1540"/>
      <c r="C29" s="1540"/>
      <c r="D29" s="1545">
        <f>-(+'[15]balance sheet P&amp;L'!M15+'[15]balance sheet P&amp;L'!M16+'[15]balance sheet P&amp;L'!M23+'[15]balance sheet P&amp;L'!M24+'[15]balance sheet P&amp;L'!M25+'[15]balance sheet P&amp;L'!M28)-'[15]balance sheet P&amp;L'!M13</f>
        <v>-228.46874491800139</v>
      </c>
      <c r="E29" s="1544">
        <f>-(+'[15]balance sheet P&amp;L'!N16+'[15]balance sheet P&amp;L'!N23+'[15]balance sheet P&amp;L'!N24+'[15]balance sheet P&amp;L'!N25+'[15]balance sheet P&amp;L'!N28)-'[15]balance sheet P&amp;L'!N13</f>
        <v>-197.95821027900001</v>
      </c>
      <c r="F29" s="1521"/>
      <c r="G29" s="1521"/>
      <c r="H29" s="1543"/>
      <c r="N29" s="808" t="str">
        <f>+'[15]balance sheet P&amp;L'!B29</f>
        <v xml:space="preserve">  Total Other Assets</v>
      </c>
      <c r="O29" s="808">
        <f>+'[15]balance sheet P&amp;L'!D29</f>
        <v>42.187014742999907</v>
      </c>
      <c r="P29" s="808">
        <f>+'[15]balance sheet P&amp;L'!E29</f>
        <v>119.54817991200002</v>
      </c>
      <c r="R29" s="808">
        <f t="shared" si="0"/>
        <v>-77.361165169000117</v>
      </c>
      <c r="T29" s="1522">
        <f>-(+R17+R25+R26+R27+R28)</f>
        <v>-165.73971571800138</v>
      </c>
    </row>
    <row r="30" spans="1:20" ht="15" x14ac:dyDescent="0.2">
      <c r="A30" s="1539" t="s">
        <v>2376</v>
      </c>
      <c r="B30" s="1540"/>
      <c r="C30" s="1540"/>
      <c r="D30" s="1545">
        <f>-('[15]balance sheet P&amp;L'!M19)-D24</f>
        <v>-804.15295667099952</v>
      </c>
      <c r="E30" s="1544">
        <f>-('[15]balance sheet P&amp;L'!N19)-E24</f>
        <v>-875.30820225700063</v>
      </c>
      <c r="G30" s="1521"/>
      <c r="H30" s="1543"/>
      <c r="N30" s="808" t="str">
        <f>+'[15]balance sheet P&amp;L'!B30</f>
        <v>TOTAL ASSETS</v>
      </c>
      <c r="O30" s="808">
        <f>+'[15]balance sheet P&amp;L'!D30</f>
        <v>76893.569993489</v>
      </c>
      <c r="P30" s="808">
        <f>+'[15]balance sheet P&amp;L'!E30</f>
        <v>75210.565756316006</v>
      </c>
      <c r="R30" s="808">
        <f t="shared" si="0"/>
        <v>1683.0042371729942</v>
      </c>
      <c r="T30" s="1522">
        <f>-R20</f>
        <v>-828.79691636499956</v>
      </c>
    </row>
    <row r="31" spans="1:20" ht="15" x14ac:dyDescent="0.2">
      <c r="A31" s="1539" t="s">
        <v>2377</v>
      </c>
      <c r="B31" s="1540"/>
      <c r="C31" s="1540"/>
      <c r="D31" s="1546">
        <f>SUM('[15]balance sheet P&amp;L'!M51:M56)+'[15]balance sheet P&amp;L'!M43+'[15]balance sheet P&amp;L'!M44+'[15]balance sheet P&amp;L'!M45+'[15]balance sheet P&amp;L'!M46-D99-D20-D55-D57-'[15]Profit &amp; Loss Grouping'!D212</f>
        <v>2689.99859242908</v>
      </c>
      <c r="E31" s="1547">
        <v>1670.3599325849998</v>
      </c>
      <c r="F31" s="1521"/>
      <c r="G31" s="1521"/>
      <c r="H31" s="1543"/>
    </row>
    <row r="32" spans="1:20" ht="15.75" x14ac:dyDescent="0.2">
      <c r="A32" s="1550" t="s">
        <v>2378</v>
      </c>
      <c r="B32" s="1551"/>
      <c r="C32" s="1551"/>
      <c r="D32" s="1541">
        <f>SUM(D28:D31)</f>
        <v>322.28789887007861</v>
      </c>
      <c r="E32" s="1552">
        <f>SUM(E28:E31)</f>
        <v>-2523.7768562810024</v>
      </c>
      <c r="G32" s="1521"/>
      <c r="H32" s="1543"/>
      <c r="N32" s="808" t="str">
        <f>+'[15]balance sheet P&amp;L'!B32</f>
        <v>EQUITY AND LIABILITIES</v>
      </c>
      <c r="O32" s="808">
        <f>+'[15]balance sheet P&amp;L'!D32</f>
        <v>0</v>
      </c>
      <c r="P32" s="808">
        <f>+'[15]balance sheet P&amp;L'!E32</f>
        <v>0</v>
      </c>
      <c r="R32" s="808">
        <f t="shared" si="0"/>
        <v>0</v>
      </c>
    </row>
    <row r="33" spans="1:20" ht="15.75" x14ac:dyDescent="0.2">
      <c r="A33" s="1530"/>
      <c r="B33" s="1531"/>
      <c r="C33" s="1531"/>
      <c r="D33" s="1541"/>
      <c r="E33" s="1542"/>
      <c r="G33" s="1521"/>
      <c r="H33" s="1543"/>
      <c r="N33" s="808" t="str">
        <f>+'[15]balance sheet P&amp;L'!B33</f>
        <v>Equity</v>
      </c>
      <c r="O33" s="808">
        <f>+'[15]balance sheet P&amp;L'!D33</f>
        <v>0</v>
      </c>
      <c r="P33" s="808">
        <f>+'[15]balance sheet P&amp;L'!E33</f>
        <v>0</v>
      </c>
      <c r="R33" s="808">
        <f t="shared" si="0"/>
        <v>0</v>
      </c>
    </row>
    <row r="34" spans="1:20" ht="15.75" x14ac:dyDescent="0.2">
      <c r="A34" s="1548" t="s">
        <v>2379</v>
      </c>
      <c r="B34" s="1549"/>
      <c r="C34" s="1549"/>
      <c r="D34" s="1541">
        <f>+D25+D32</f>
        <v>6688.6610643880867</v>
      </c>
      <c r="E34" s="1542">
        <f>+E25+E32</f>
        <v>3033.7071469209977</v>
      </c>
      <c r="G34" s="1521"/>
      <c r="H34" s="1543"/>
      <c r="N34" s="808" t="str">
        <f>+'[15]balance sheet P&amp;L'!B34</f>
        <v xml:space="preserve">    Equity Share capital</v>
      </c>
      <c r="O34" s="808">
        <f>+'[15]balance sheet P&amp;L'!D34</f>
        <v>26115.397229399994</v>
      </c>
      <c r="P34" s="808">
        <f>+'[15]balance sheet P&amp;L'!E34</f>
        <v>25918.496225999996</v>
      </c>
      <c r="R34" s="808">
        <f t="shared" si="0"/>
        <v>196.90100339999844</v>
      </c>
      <c r="T34" s="1538"/>
    </row>
    <row r="35" spans="1:20" ht="15.75" customHeight="1" x14ac:dyDescent="0.2">
      <c r="A35" s="1530"/>
      <c r="B35" s="1531"/>
      <c r="C35" s="1531"/>
      <c r="D35" s="1541"/>
      <c r="E35" s="1542"/>
      <c r="G35" s="1521"/>
      <c r="H35" s="1543"/>
      <c r="N35" s="808" t="str">
        <f>+'[15]balance sheet P&amp;L'!B35</f>
        <v xml:space="preserve">    Other Equity</v>
      </c>
      <c r="O35" s="808">
        <f>+'[15]balance sheet P&amp;L'!D35</f>
        <v>-9967.0311808639726</v>
      </c>
      <c r="P35" s="808">
        <f>+'[15]balance sheet P&amp;L'!E35</f>
        <v>-10109.698583866902</v>
      </c>
      <c r="R35" s="808">
        <f t="shared" si="0"/>
        <v>142.66740300292986</v>
      </c>
    </row>
    <row r="36" spans="1:20" ht="15.75" x14ac:dyDescent="0.2">
      <c r="A36" s="1539" t="s">
        <v>2380</v>
      </c>
      <c r="B36" s="1540"/>
      <c r="C36" s="1540"/>
      <c r="D36" s="1553"/>
      <c r="E36" s="1554"/>
      <c r="G36" s="1521"/>
      <c r="H36" s="1543"/>
    </row>
    <row r="37" spans="1:20" ht="15.75" x14ac:dyDescent="0.2">
      <c r="A37" s="1548" t="s">
        <v>2381</v>
      </c>
      <c r="B37" s="1549"/>
      <c r="C37" s="1549"/>
      <c r="D37" s="1555">
        <f>+D34-D36</f>
        <v>6688.6610643880867</v>
      </c>
      <c r="E37" s="1556">
        <f>+E34-E36</f>
        <v>3033.7071469209977</v>
      </c>
      <c r="G37" s="1521"/>
      <c r="H37" s="1543"/>
      <c r="T37" s="1557"/>
    </row>
    <row r="38" spans="1:20" ht="15" customHeight="1" x14ac:dyDescent="0.2">
      <c r="A38" s="1530"/>
      <c r="B38" s="1531"/>
      <c r="C38" s="1531"/>
      <c r="D38" s="1541"/>
      <c r="E38" s="1542"/>
      <c r="G38" s="1521"/>
      <c r="H38" s="1543"/>
      <c r="N38" s="808" t="str">
        <f>+'[15]balance sheet P&amp;L'!B38</f>
        <v>Total Equity</v>
      </c>
      <c r="O38" s="808">
        <f>+'[15]balance sheet P&amp;L'!D38</f>
        <v>16148.366048536021</v>
      </c>
      <c r="P38" s="808">
        <f>+'[15]balance sheet P&amp;L'!E38</f>
        <v>15808.797642133093</v>
      </c>
      <c r="R38" s="808">
        <f t="shared" si="0"/>
        <v>339.5684064029283</v>
      </c>
    </row>
    <row r="39" spans="1:20" ht="15.75" x14ac:dyDescent="0.2">
      <c r="A39" s="1534" t="s">
        <v>2382</v>
      </c>
      <c r="B39" s="1535"/>
      <c r="C39" s="1535"/>
      <c r="D39" s="1541"/>
      <c r="E39" s="1542"/>
      <c r="G39" s="1521"/>
      <c r="H39" s="1543"/>
      <c r="N39" s="808" t="str">
        <f>+'[15]balance sheet P&amp;L'!B39</f>
        <v>Liabilities</v>
      </c>
      <c r="O39" s="808">
        <f>+'[15]balance sheet P&amp;L'!D39</f>
        <v>0</v>
      </c>
      <c r="P39" s="808">
        <f>+'[15]balance sheet P&amp;L'!E39</f>
        <v>0</v>
      </c>
      <c r="R39" s="808">
        <f t="shared" si="0"/>
        <v>0</v>
      </c>
    </row>
    <row r="40" spans="1:20" ht="15" x14ac:dyDescent="0.2">
      <c r="A40" s="2026" t="s">
        <v>2383</v>
      </c>
      <c r="B40" s="2027"/>
      <c r="C40" s="2027"/>
      <c r="D40" s="1545">
        <f>-(+'[15]balance sheet P&amp;L'!M6+'[15]balance sheet P&amp;L'!M7+'[15]balance sheet P&amp;L'!M8+'[15]balance sheet P&amp;L'!M9+'[15]balance sheet P&amp;L'!M10)-D10-D41</f>
        <v>-2294.797646236997</v>
      </c>
      <c r="E40" s="1544">
        <v>-2145.4841699650069</v>
      </c>
      <c r="F40" s="1521"/>
      <c r="G40" s="1521"/>
      <c r="H40" s="1543"/>
      <c r="N40" s="808" t="str">
        <f>+'[15]balance sheet P&amp;L'!B40</f>
        <v>Non Current Liabilities</v>
      </c>
      <c r="O40" s="808">
        <f>+'[15]balance sheet P&amp;L'!D40</f>
        <v>0</v>
      </c>
      <c r="P40" s="808">
        <f>+'[15]balance sheet P&amp;L'!E40</f>
        <v>0</v>
      </c>
      <c r="R40" s="808">
        <f t="shared" si="0"/>
        <v>0</v>
      </c>
      <c r="T40" s="1522">
        <f>-(+R7+R10+R12+R13)</f>
        <v>274.36854595600329</v>
      </c>
    </row>
    <row r="41" spans="1:20" ht="15" x14ac:dyDescent="0.2">
      <c r="A41" s="1539" t="s">
        <v>2384</v>
      </c>
      <c r="B41" s="1558"/>
      <c r="C41" s="1558"/>
      <c r="D41" s="1545">
        <f>'[15]FA Final'!P12+'[15]Note 1A'!C33</f>
        <v>12.482788445999999</v>
      </c>
      <c r="E41" s="1544">
        <f>'[15]FA Final'!P9+'[15]Note 1A'!C30</f>
        <v>3.1035392980000003</v>
      </c>
      <c r="F41" s="1521"/>
      <c r="G41" s="1521"/>
      <c r="H41" s="1543"/>
      <c r="N41" s="808" t="str">
        <f>+'[15]balance sheet P&amp;L'!B41</f>
        <v xml:space="preserve">    Financial liabilities</v>
      </c>
      <c r="O41" s="808">
        <f>+'[15]balance sheet P&amp;L'!D41</f>
        <v>0</v>
      </c>
      <c r="P41" s="808">
        <f>+'[15]balance sheet P&amp;L'!E41</f>
        <v>0</v>
      </c>
      <c r="R41" s="808">
        <f t="shared" si="0"/>
        <v>0</v>
      </c>
    </row>
    <row r="42" spans="1:20" ht="15" hidden="1" x14ac:dyDescent="0.2">
      <c r="A42" s="2026" t="s">
        <v>2385</v>
      </c>
      <c r="B42" s="2027"/>
      <c r="C42" s="2027"/>
      <c r="D42" s="1545"/>
      <c r="E42" s="1544"/>
      <c r="F42" s="1521"/>
      <c r="G42" s="1521"/>
      <c r="H42" s="1543"/>
      <c r="N42" s="808" t="str">
        <f>+'[15]balance sheet P&amp;L'!B42</f>
        <v xml:space="preserve">          - Borrowings</v>
      </c>
      <c r="O42" s="808">
        <f>+'[15]balance sheet P&amp;L'!D42</f>
        <v>24724.542599953405</v>
      </c>
      <c r="P42" s="808">
        <f>+'[15]balance sheet P&amp;L'!E42</f>
        <v>24687.339384897423</v>
      </c>
      <c r="R42" s="808">
        <f t="shared" si="0"/>
        <v>37.203215055982582</v>
      </c>
    </row>
    <row r="43" spans="1:20" ht="15" x14ac:dyDescent="0.2">
      <c r="A43" s="1559" t="s">
        <v>2386</v>
      </c>
      <c r="B43" s="1560"/>
      <c r="C43" s="1560"/>
      <c r="D43" s="1545">
        <f>-(+'[15]balance sheet P&amp;L'!M12)</f>
        <v>-0.27893150399999245</v>
      </c>
      <c r="E43" s="1544">
        <f>-(+'[15]balance sheet P&amp;L'!N12)</f>
        <v>-9.932690000000699E-2</v>
      </c>
      <c r="F43" s="1521"/>
      <c r="G43" s="1521"/>
      <c r="H43" s="1543"/>
      <c r="N43" s="808" t="str">
        <f>+'[15]balance sheet P&amp;L'!B44</f>
        <v xml:space="preserve">    Provisions</v>
      </c>
      <c r="O43" s="808">
        <f>+'[15]balance sheet P&amp;L'!D44</f>
        <v>1504.1542353</v>
      </c>
      <c r="P43" s="808">
        <f>+'[15]balance sheet P&amp;L'!E44</f>
        <v>1153.4486072999998</v>
      </c>
      <c r="R43" s="808">
        <f t="shared" si="0"/>
        <v>350.70562800000016</v>
      </c>
      <c r="T43" s="1522">
        <f>-R15</f>
        <v>-0.27893150399999245</v>
      </c>
    </row>
    <row r="44" spans="1:20" ht="15" hidden="1" x14ac:dyDescent="0.2">
      <c r="A44" s="1539" t="s">
        <v>2387</v>
      </c>
      <c r="B44" s="1558"/>
      <c r="C44" s="1558"/>
      <c r="D44" s="1545"/>
      <c r="E44" s="1544"/>
      <c r="F44" s="1521"/>
      <c r="G44" s="1521"/>
      <c r="H44" s="1543"/>
      <c r="N44" s="808" t="str">
        <f>+'[15]balance sheet P&amp;L'!B45</f>
        <v xml:space="preserve">    Net Deferred tax liabilities</v>
      </c>
      <c r="O44" s="808">
        <f>+'[15]balance sheet P&amp;L'!D45</f>
        <v>69.678318899999994</v>
      </c>
      <c r="P44" s="808">
        <f>+'[15]balance sheet P&amp;L'!E45</f>
        <v>-69.61437304908047</v>
      </c>
      <c r="R44" s="808">
        <f t="shared" si="0"/>
        <v>139.29269194908045</v>
      </c>
    </row>
    <row r="45" spans="1:20" ht="15" hidden="1" x14ac:dyDescent="0.2">
      <c r="A45" s="1539" t="s">
        <v>2388</v>
      </c>
      <c r="B45" s="1558"/>
      <c r="C45" s="1558"/>
      <c r="D45" s="1545"/>
      <c r="E45" s="1544"/>
      <c r="G45" s="1521"/>
      <c r="H45" s="1543"/>
      <c r="N45" s="808" t="str">
        <f>+'[15]balance sheet P&amp;L'!B46</f>
        <v xml:space="preserve">    Other non-current liabilities</v>
      </c>
      <c r="O45" s="808">
        <f>+'[15]balance sheet P&amp;L'!D46</f>
        <v>849.92103283900008</v>
      </c>
      <c r="P45" s="808">
        <f>+'[15]balance sheet P&amp;L'!E46</f>
        <v>654.67374213900007</v>
      </c>
      <c r="R45" s="808">
        <f t="shared" si="0"/>
        <v>195.24729070000001</v>
      </c>
    </row>
    <row r="46" spans="1:20" ht="15" x14ac:dyDescent="0.2">
      <c r="A46" s="1539" t="s">
        <v>2389</v>
      </c>
      <c r="B46" s="1558"/>
      <c r="C46" s="1558"/>
      <c r="D46" s="1545">
        <f>-D23</f>
        <v>5.85865E-2</v>
      </c>
      <c r="E46" s="1544">
        <f>-E23</f>
        <v>0.22902478000000004</v>
      </c>
      <c r="G46" s="1521"/>
      <c r="H46" s="1543"/>
    </row>
    <row r="47" spans="1:20" ht="15" hidden="1" x14ac:dyDescent="0.2">
      <c r="A47" s="1539" t="s">
        <v>2390</v>
      </c>
      <c r="B47" s="1558"/>
      <c r="C47" s="1558"/>
      <c r="D47" s="1545"/>
      <c r="E47" s="1544"/>
      <c r="G47" s="1521"/>
      <c r="H47" s="1543"/>
      <c r="N47" s="808" t="str">
        <f>+'[15]balance sheet P&amp;L'!B47</f>
        <v>Total Non Current Liabilities</v>
      </c>
      <c r="O47" s="808">
        <f>+'[15]balance sheet P&amp;L'!D47</f>
        <v>30006.818907318051</v>
      </c>
      <c r="P47" s="808">
        <f>+'[15]balance sheet P&amp;L'!E47</f>
        <v>29352.406801212928</v>
      </c>
      <c r="R47" s="808">
        <f t="shared" si="0"/>
        <v>654.4121061051228</v>
      </c>
      <c r="T47" s="1557">
        <f>SUM(T40:T46)</f>
        <v>274.08961445200327</v>
      </c>
    </row>
    <row r="48" spans="1:20" ht="15.75" x14ac:dyDescent="0.2">
      <c r="A48" s="1548" t="s">
        <v>2391</v>
      </c>
      <c r="B48" s="1549"/>
      <c r="C48" s="1549"/>
      <c r="D48" s="1553">
        <f>SUM(D40:D47)</f>
        <v>-2282.5352027949971</v>
      </c>
      <c r="E48" s="1554">
        <f>SUM(E40:E47)</f>
        <v>-2142.2509327870066</v>
      </c>
      <c r="G48" s="1521"/>
      <c r="H48" s="1543"/>
      <c r="N48" s="808" t="str">
        <f>+'[15]balance sheet P&amp;L'!B48</f>
        <v>Current Liabilities</v>
      </c>
      <c r="O48" s="808">
        <f>+'[15]balance sheet P&amp;L'!D48</f>
        <v>0</v>
      </c>
      <c r="P48" s="808">
        <f>+'[15]balance sheet P&amp;L'!E48</f>
        <v>0</v>
      </c>
      <c r="R48" s="808">
        <f t="shared" si="0"/>
        <v>0</v>
      </c>
    </row>
    <row r="49" spans="1:22" ht="15" x14ac:dyDescent="0.2">
      <c r="A49" s="1530"/>
      <c r="B49" s="1531"/>
      <c r="C49" s="1531"/>
      <c r="D49" s="1545"/>
      <c r="E49" s="1544"/>
      <c r="G49" s="1521"/>
      <c r="H49" s="1543"/>
      <c r="N49" s="808" t="str">
        <f>+'[15]balance sheet P&amp;L'!B49</f>
        <v xml:space="preserve">    Financial liabilities</v>
      </c>
      <c r="O49" s="808">
        <f>+'[15]balance sheet P&amp;L'!D49</f>
        <v>0</v>
      </c>
      <c r="P49" s="808">
        <f>+'[15]balance sheet P&amp;L'!E49</f>
        <v>0</v>
      </c>
      <c r="R49" s="808">
        <f t="shared" si="0"/>
        <v>0</v>
      </c>
    </row>
    <row r="50" spans="1:22" ht="15.75" x14ac:dyDescent="0.2">
      <c r="A50" s="1534" t="s">
        <v>2392</v>
      </c>
      <c r="B50" s="1535"/>
      <c r="C50" s="1535"/>
      <c r="D50" s="1545"/>
      <c r="E50" s="1544"/>
      <c r="G50" s="1521"/>
      <c r="H50" s="1543"/>
      <c r="N50" s="808" t="str">
        <f>+'[15]balance sheet P&amp;L'!B50</f>
        <v xml:space="preserve">          - Borrowings</v>
      </c>
      <c r="O50" s="808">
        <f>+'[15]balance sheet P&amp;L'!D50</f>
        <v>16043.894236554601</v>
      </c>
      <c r="P50" s="808">
        <f>+'[15]balance sheet P&amp;L'!E50</f>
        <v>17272.729860049571</v>
      </c>
      <c r="R50" s="808">
        <f t="shared" si="0"/>
        <v>-1228.8356234949697</v>
      </c>
    </row>
    <row r="51" spans="1:22" ht="15" x14ac:dyDescent="0.2">
      <c r="A51" s="1539" t="s">
        <v>2393</v>
      </c>
      <c r="B51" s="1540"/>
      <c r="C51" s="1540"/>
      <c r="D51" s="1545">
        <f>('[15]balance sheet P&amp;L'!M42+('[15]balance sheet P&amp;L'!D305-'[15]balance sheet P&amp;L'!E305))*0+D106</f>
        <v>5028.3436283000001</v>
      </c>
      <c r="E51" s="1544">
        <f>+E106</f>
        <v>5447.1916111999999</v>
      </c>
      <c r="F51" s="1521"/>
      <c r="G51" s="1521"/>
      <c r="H51" s="1543"/>
      <c r="N51" s="808" t="str">
        <f>+'[15]balance sheet P&amp;L'!B53</f>
        <v xml:space="preserve">          - Trade payables - Other than MSME</v>
      </c>
      <c r="O51" s="808">
        <f>+'[15]balance sheet P&amp;L'!D53</f>
        <v>9747.6502665793432</v>
      </c>
      <c r="P51" s="808">
        <f>+'[15]balance sheet P&amp;L'!E53</f>
        <v>8102.1865365563317</v>
      </c>
      <c r="R51" s="808">
        <f t="shared" si="0"/>
        <v>1645.4637300230115</v>
      </c>
      <c r="T51" s="1522">
        <f>+R42</f>
        <v>37.203215055982582</v>
      </c>
    </row>
    <row r="52" spans="1:22" ht="15" x14ac:dyDescent="0.2">
      <c r="A52" s="1539" t="s">
        <v>2394</v>
      </c>
      <c r="B52" s="1540"/>
      <c r="C52" s="1540"/>
      <c r="D52" s="1545">
        <f>(-D107-D109)</f>
        <v>-5069.376387067925</v>
      </c>
      <c r="E52" s="1544">
        <f>-(E107+E109)</f>
        <v>-3549.0466506030498</v>
      </c>
      <c r="G52" s="1521"/>
      <c r="H52" s="1543"/>
      <c r="N52" s="808" t="str">
        <f>+'[15]balance sheet P&amp;L'!B54</f>
        <v xml:space="preserve">          - Other financial liabilities</v>
      </c>
      <c r="O52" s="808">
        <f>+'[15]balance sheet P&amp;L'!D54</f>
        <v>4333.5231469929995</v>
      </c>
      <c r="P52" s="808">
        <f>+'[15]balance sheet P&amp;L'!E54</f>
        <v>4108.6721583640001</v>
      </c>
      <c r="R52" s="808">
        <f t="shared" si="0"/>
        <v>224.8509886289994</v>
      </c>
    </row>
    <row r="53" spans="1:22" ht="15" x14ac:dyDescent="0.2">
      <c r="A53" s="1539" t="s">
        <v>2395</v>
      </c>
      <c r="B53" s="1540"/>
      <c r="C53" s="1540"/>
      <c r="D53" s="1545">
        <f>+'[15]balance sheet P&amp;L'!M34+'[15]balance sheet P&amp;L'!D260-'[15]balance sheet P&amp;L'!E260</f>
        <v>294.54909999999865</v>
      </c>
      <c r="E53" s="1544">
        <f>+'[15]balance sheet P&amp;L'!N34+'[15]balance sheet P&amp;L'!E260-'[15]balance sheet P&amp;L'!F260+('[15]balance sheet P&amp;L'!E261-'[15]balance sheet P&amp;L'!F261)</f>
        <v>91.141003426003522</v>
      </c>
      <c r="F53" s="1521"/>
      <c r="G53" s="1521"/>
      <c r="H53" s="1543"/>
      <c r="N53" s="808" t="str">
        <f>+'[15]balance sheet P&amp;L'!B55</f>
        <v xml:space="preserve">    Other current liabilities</v>
      </c>
      <c r="O53" s="808">
        <f>+'[15]balance sheet P&amp;L'!D55</f>
        <v>154.90500698400001</v>
      </c>
      <c r="P53" s="808">
        <f>+'[15]balance sheet P&amp;L'!E55</f>
        <v>182.35702072499998</v>
      </c>
      <c r="R53" s="808">
        <f t="shared" si="0"/>
        <v>-27.452013740999973</v>
      </c>
    </row>
    <row r="54" spans="1:22" ht="15" x14ac:dyDescent="0.2">
      <c r="A54" s="1539" t="s">
        <v>2396</v>
      </c>
      <c r="B54" s="1540"/>
      <c r="C54" s="1540"/>
      <c r="D54" s="1545">
        <f>+'[15]balance sheet P&amp;L'!M50-(('[15]balance sheet P&amp;L'!D305-'[15]balance sheet P&amp;L'!E305))+((SUM('[15]Balance sheet groupings'!C517:C531)-SUM('[15]Balance sheet groupings'!E517:E531))*0)+0.01</f>
        <v>-1150.5961997970028</v>
      </c>
      <c r="E54" s="1544">
        <v>1151.3683897969991</v>
      </c>
      <c r="F54" s="1521"/>
      <c r="G54" s="1521"/>
      <c r="H54" s="1543"/>
      <c r="N54" s="808" t="str">
        <f>+'[15]balance sheet P&amp;L'!B56</f>
        <v xml:space="preserve">    Provisions</v>
      </c>
      <c r="O54" s="808">
        <f>+'[15]balance sheet P&amp;L'!D56</f>
        <v>282.64378577200011</v>
      </c>
      <c r="P54" s="808">
        <f>+'[15]balance sheet P&amp;L'!E56</f>
        <v>239.07374370900004</v>
      </c>
      <c r="R54" s="808">
        <f t="shared" si="0"/>
        <v>43.570042063000074</v>
      </c>
      <c r="T54" s="1522">
        <f>+R50</f>
        <v>-1228.8356234949697</v>
      </c>
    </row>
    <row r="55" spans="1:22" ht="15" x14ac:dyDescent="0.2">
      <c r="A55" s="1539" t="s">
        <v>2397</v>
      </c>
      <c r="B55" s="1540"/>
      <c r="C55" s="1540"/>
      <c r="D55" s="1545">
        <f>+'[15]Government grant note 30 &amp; 31'!E11+'[15]Government grant note 30 &amp; 31'!E12</f>
        <v>210.48789070000007</v>
      </c>
      <c r="E55" s="1544">
        <f>'[15]Government grant note 30 &amp; 31'!E6+'[15]Government grant note 30 &amp; 31'!E7</f>
        <v>409.99323279999999</v>
      </c>
      <c r="G55" s="1521"/>
      <c r="H55" s="1543"/>
    </row>
    <row r="56" spans="1:22" ht="15" x14ac:dyDescent="0.2">
      <c r="A56" s="1539" t="s">
        <v>2398</v>
      </c>
      <c r="B56" s="1540"/>
      <c r="C56" s="1540"/>
      <c r="D56" s="1545">
        <f>-'[15]balance sheet P&amp;L'!D89+D99+'[15]Profit &amp; Loss Grouping'!D212</f>
        <v>-3484.7850724520003</v>
      </c>
      <c r="E56" s="1544">
        <v>-3097.5762837300008</v>
      </c>
      <c r="G56" s="1521"/>
      <c r="H56" s="1543"/>
      <c r="N56" s="808" t="str">
        <f>+'[15]balance sheet P&amp;L'!B57</f>
        <v>Total Current Liabilities</v>
      </c>
      <c r="O56" s="808">
        <f>+'[15]balance sheet P&amp;L'!D57</f>
        <v>30738.38504951496</v>
      </c>
      <c r="P56" s="808">
        <f>+'[15]balance sheet P&amp;L'!E57</f>
        <v>30049.361324926984</v>
      </c>
      <c r="R56" s="808">
        <f t="shared" si="0"/>
        <v>689.02372458797618</v>
      </c>
    </row>
    <row r="57" spans="1:22" ht="15" x14ac:dyDescent="0.2">
      <c r="A57" s="1539" t="s">
        <v>2399</v>
      </c>
      <c r="B57" s="1540"/>
      <c r="C57" s="1540"/>
      <c r="D57" s="1546">
        <f>-'[15]Computation (2)'!C51</f>
        <v>-491.57608076000002</v>
      </c>
      <c r="E57" s="1547">
        <v>-492.57211519999993</v>
      </c>
      <c r="G57" s="1521"/>
      <c r="H57" s="1543"/>
      <c r="N57" s="808" t="str">
        <f>+'[15]balance sheet P&amp;L'!B58</f>
        <v>TOTAL EQUITY AND LIABILITIES</v>
      </c>
      <c r="O57" s="808">
        <f>+'[15]balance sheet P&amp;L'!D58</f>
        <v>76893.570005369023</v>
      </c>
      <c r="P57" s="808">
        <f>+'[15]balance sheet P&amp;L'!E58</f>
        <v>75210.565768273009</v>
      </c>
      <c r="R57" s="808">
        <f t="shared" si="0"/>
        <v>1683.0042370960145</v>
      </c>
    </row>
    <row r="58" spans="1:22" ht="15.75" x14ac:dyDescent="0.2">
      <c r="A58" s="1548" t="s">
        <v>2400</v>
      </c>
      <c r="B58" s="1549"/>
      <c r="C58" s="1549"/>
      <c r="D58" s="1555">
        <f>SUM(D51:D57)</f>
        <v>-4662.9531210769292</v>
      </c>
      <c r="E58" s="1556">
        <f>SUM(E51:E57)</f>
        <v>-39.500812310048161</v>
      </c>
      <c r="G58" s="1521"/>
      <c r="H58" s="1543"/>
      <c r="T58" s="1557">
        <f>SUM(T51:T57)</f>
        <v>-1191.6324084389871</v>
      </c>
      <c r="V58" s="1538">
        <f>+D7+T34</f>
        <v>45.017248804008943</v>
      </c>
    </row>
    <row r="59" spans="1:22" ht="15" x14ac:dyDescent="0.2">
      <c r="A59" s="1530"/>
      <c r="B59" s="1531"/>
      <c r="C59" s="1531"/>
      <c r="D59" s="1545"/>
      <c r="E59" s="1544"/>
      <c r="F59" s="1521">
        <f>+E62-D61</f>
        <v>608.81214474394312</v>
      </c>
      <c r="G59" s="1521">
        <f>+F59-G62</f>
        <v>0</v>
      </c>
      <c r="H59" s="1543"/>
      <c r="T59" s="1557">
        <f>+T37+T47+T58</f>
        <v>-917.54279398698384</v>
      </c>
    </row>
    <row r="60" spans="1:22" ht="15.75" x14ac:dyDescent="0.2">
      <c r="A60" s="1561" t="s">
        <v>2401</v>
      </c>
      <c r="B60" s="1562"/>
      <c r="C60" s="1562"/>
      <c r="D60" s="1563">
        <f>+D37+D48+D58</f>
        <v>-256.82725948383995</v>
      </c>
      <c r="E60" s="1552">
        <f>+E37+E48+E58</f>
        <v>851.95540182394302</v>
      </c>
      <c r="F60" s="1521"/>
      <c r="G60" s="1521"/>
      <c r="H60" s="1543"/>
      <c r="T60" s="1538">
        <f>+T59+D76</f>
        <v>-910.69336522198387</v>
      </c>
      <c r="V60" s="1538"/>
    </row>
    <row r="61" spans="1:22" ht="15.75" x14ac:dyDescent="0.2">
      <c r="A61" s="1548" t="s">
        <v>117</v>
      </c>
      <c r="B61" s="1549"/>
      <c r="C61" s="1549"/>
      <c r="D61" s="1541">
        <v>263.67808044699996</v>
      </c>
      <c r="E61" s="1542">
        <v>20.534823367000008</v>
      </c>
      <c r="G61" s="1521"/>
      <c r="H61" s="1543"/>
    </row>
    <row r="62" spans="1:22" ht="15.75" x14ac:dyDescent="0.2">
      <c r="A62" s="1564" t="s">
        <v>118</v>
      </c>
      <c r="B62" s="1565"/>
      <c r="C62" s="1565"/>
      <c r="D62" s="1555">
        <f>+D61+D60</f>
        <v>6.8508209631600039</v>
      </c>
      <c r="E62" s="1556">
        <f>+E61+E60</f>
        <v>872.49022519094308</v>
      </c>
      <c r="F62" s="1315">
        <f>+D62-'[15]balance sheet P&amp;L'!D22</f>
        <v>1.3921981600057975E-3</v>
      </c>
      <c r="G62" s="1566">
        <f>+E62-'[15]balance sheet P&amp;L'!E22</f>
        <v>608.81214474394312</v>
      </c>
      <c r="H62" s="1543"/>
      <c r="P62" s="808" t="e">
        <f>+'[15]balance sheet P&amp;L'!#REF!-'[15]balance sheet P&amp;L'!#REF!</f>
        <v>#REF!</v>
      </c>
    </row>
    <row r="63" spans="1:22" ht="15.75" hidden="1" x14ac:dyDescent="0.2">
      <c r="A63" s="2028" t="str">
        <f>A1</f>
        <v>MAHARASHTRA STATE POWER GENERATION COMPANY LIMITED [CIN -U40100MH2005SGC153648]</v>
      </c>
      <c r="B63" s="2029"/>
      <c r="C63" s="2029"/>
      <c r="D63" s="2029"/>
      <c r="E63" s="2030"/>
      <c r="G63" s="1567"/>
      <c r="H63" s="1543"/>
    </row>
    <row r="64" spans="1:22" ht="15.75" hidden="1" x14ac:dyDescent="0.2">
      <c r="A64" s="2015" t="str">
        <f>A2</f>
        <v>Cash  Flow  Statement For The Year Ended 31st March, 2024</v>
      </c>
      <c r="B64" s="2016"/>
      <c r="C64" s="2016"/>
      <c r="D64" s="2016"/>
      <c r="E64" s="2017"/>
      <c r="F64" s="1538">
        <f>+D62-D76</f>
        <v>1.3921981600057975E-3</v>
      </c>
      <c r="G64" s="1567"/>
      <c r="H64" s="1543"/>
    </row>
    <row r="65" spans="1:14" ht="15.75" hidden="1" x14ac:dyDescent="0.2">
      <c r="A65" s="1568"/>
      <c r="B65" s="1569"/>
      <c r="C65" s="1569"/>
      <c r="D65" s="1569"/>
      <c r="E65" s="1570" t="s">
        <v>547</v>
      </c>
      <c r="F65" s="1538"/>
      <c r="G65" s="1567"/>
      <c r="H65" s="1543"/>
    </row>
    <row r="66" spans="1:14" ht="32.25" hidden="1" thickBot="1" x14ac:dyDescent="0.25">
      <c r="A66" s="1526"/>
      <c r="B66" s="1527"/>
      <c r="C66" s="1527"/>
      <c r="D66" s="1528" t="str">
        <f>+'[15]balance sheet P&amp;L'!$D$78</f>
        <v xml:space="preserve">2023-24 </v>
      </c>
      <c r="E66" s="1571" t="str">
        <f>+'[15]balance sheet P&amp;L'!$E$78</f>
        <v>2022-23 (RESTATED)</v>
      </c>
      <c r="G66" s="1567"/>
      <c r="H66" s="1543"/>
    </row>
    <row r="67" spans="1:14" ht="15.75" hidden="1" customHeight="1" x14ac:dyDescent="0.2">
      <c r="A67" s="1530"/>
      <c r="B67" s="1531"/>
      <c r="C67" s="1531"/>
      <c r="D67" s="1572"/>
      <c r="E67" s="1573"/>
      <c r="G67" s="1567"/>
      <c r="H67" s="1543"/>
    </row>
    <row r="68" spans="1:14" ht="15.75" x14ac:dyDescent="0.2">
      <c r="A68" s="1548" t="s">
        <v>2402</v>
      </c>
      <c r="B68" s="1549"/>
      <c r="C68" s="1549"/>
      <c r="D68" s="1574"/>
      <c r="E68" s="1575"/>
      <c r="G68" s="1567"/>
      <c r="H68" s="1543"/>
    </row>
    <row r="69" spans="1:14" ht="15.75" x14ac:dyDescent="0.2">
      <c r="A69" s="1548" t="s">
        <v>2403</v>
      </c>
      <c r="B69" s="1549"/>
      <c r="C69" s="1549"/>
      <c r="D69" s="1574"/>
      <c r="E69" s="1575"/>
      <c r="G69" s="1567"/>
      <c r="H69" s="1543"/>
    </row>
    <row r="70" spans="1:14" ht="15" x14ac:dyDescent="0.2">
      <c r="A70" s="1539" t="s">
        <v>2404</v>
      </c>
      <c r="B70" s="1540"/>
      <c r="C70" s="1540"/>
      <c r="D70" s="1576"/>
      <c r="E70" s="1537"/>
      <c r="G70" s="1567"/>
      <c r="H70" s="1543"/>
    </row>
    <row r="71" spans="1:14" ht="15" x14ac:dyDescent="0.2">
      <c r="A71" s="1539" t="s">
        <v>2405</v>
      </c>
      <c r="B71" s="1540"/>
      <c r="C71" s="1540"/>
      <c r="D71" s="1545">
        <f>+'[15]balance sheet P&amp;L'!D222</f>
        <v>6.8380321949999985</v>
      </c>
      <c r="E71" s="1544">
        <f>+'[15]balance sheet P&amp;L'!E222</f>
        <v>263.66342570199998</v>
      </c>
      <c r="G71" s="1567"/>
      <c r="H71" s="1543"/>
    </row>
    <row r="72" spans="1:14" ht="15" x14ac:dyDescent="0.2">
      <c r="A72" s="1539" t="s">
        <v>2406</v>
      </c>
      <c r="B72" s="1540"/>
      <c r="C72" s="1540"/>
      <c r="D72" s="1545">
        <f>+'[15]balance sheet P&amp;L'!D223</f>
        <v>0</v>
      </c>
      <c r="E72" s="1544">
        <f>+'[15]balance sheet P&amp;L'!E223</f>
        <v>0</v>
      </c>
      <c r="G72" s="1567"/>
      <c r="H72" s="1543"/>
    </row>
    <row r="73" spans="1:14" ht="15" x14ac:dyDescent="0.2">
      <c r="A73" s="1539" t="s">
        <v>2407</v>
      </c>
      <c r="B73" s="1540"/>
      <c r="C73" s="1540"/>
      <c r="D73" s="1545">
        <f>(SUM('[15]Balance sheet groupings'!C517:C530)*0)</f>
        <v>0</v>
      </c>
      <c r="E73" s="1544">
        <v>608.81214132600007</v>
      </c>
      <c r="G73" s="1567"/>
      <c r="H73" s="1543"/>
    </row>
    <row r="74" spans="1:14" ht="15" x14ac:dyDescent="0.2">
      <c r="A74" s="1539" t="s">
        <v>2408</v>
      </c>
      <c r="B74" s="1540"/>
      <c r="C74" s="1540"/>
      <c r="D74" s="1545">
        <f>+'[15]balance sheet P&amp;L'!D224</f>
        <v>1.139657E-2</v>
      </c>
      <c r="E74" s="1544">
        <f>+'[15]balance sheet P&amp;L'!E224</f>
        <v>1.4654745E-2</v>
      </c>
      <c r="F74" s="1577"/>
      <c r="G74" s="1567"/>
      <c r="H74" s="1543"/>
    </row>
    <row r="75" spans="1:14" ht="15.75" hidden="1" x14ac:dyDescent="0.2">
      <c r="A75" s="1548"/>
      <c r="B75" s="1549"/>
      <c r="C75" s="1549"/>
      <c r="D75" s="1545"/>
      <c r="E75" s="1544"/>
      <c r="G75" s="1567"/>
      <c r="H75" s="1543"/>
    </row>
    <row r="76" spans="1:14" ht="15.75" x14ac:dyDescent="0.2">
      <c r="A76" s="1564" t="s">
        <v>118</v>
      </c>
      <c r="B76" s="1565"/>
      <c r="C76" s="1565"/>
      <c r="D76" s="1555">
        <f>SUM(D71:D75)</f>
        <v>6.8494287649999981</v>
      </c>
      <c r="E76" s="1556">
        <f>SUM(E71:E75)</f>
        <v>872.49022177300014</v>
      </c>
      <c r="G76" s="1567">
        <f>+D62-D76</f>
        <v>1.3921981600057975E-3</v>
      </c>
      <c r="H76" s="1543"/>
    </row>
    <row r="77" spans="1:14" ht="15.75" x14ac:dyDescent="0.2">
      <c r="A77" s="1578"/>
      <c r="B77" s="1579"/>
      <c r="C77" s="1579"/>
      <c r="D77" s="1580">
        <f>+D62-D76</f>
        <v>1.3921981600057975E-3</v>
      </c>
      <c r="E77" s="1581">
        <f>+E62-E76</f>
        <v>3.4179429349023849E-6</v>
      </c>
      <c r="G77" s="1521"/>
    </row>
    <row r="78" spans="1:14" ht="15.75" x14ac:dyDescent="0.2">
      <c r="A78" s="823" t="s">
        <v>459</v>
      </c>
      <c r="B78" s="1582"/>
      <c r="C78" s="1583"/>
      <c r="D78" s="1584"/>
      <c r="E78" s="1585"/>
      <c r="F78" s="1586"/>
      <c r="G78" s="1587"/>
      <c r="N78" s="1324">
        <f>+D62-D76</f>
        <v>1.3921981600057975E-3</v>
      </c>
    </row>
    <row r="79" spans="1:14" x14ac:dyDescent="0.2">
      <c r="A79" s="315" t="str">
        <f>+'[15]balance sheet P&amp;L'!B61</f>
        <v>For Ummed Jain &amp; Co.</v>
      </c>
      <c r="B79" s="1588" t="s">
        <v>461</v>
      </c>
      <c r="C79" s="1589"/>
      <c r="D79" s="1590"/>
      <c r="E79" s="1591"/>
      <c r="F79" s="1586"/>
    </row>
    <row r="80" spans="1:14" x14ac:dyDescent="0.2">
      <c r="A80" s="823" t="str">
        <f>+'[15]balance sheet P&amp;L'!B62</f>
        <v>Chartered Accountants</v>
      </c>
      <c r="B80" s="1589"/>
      <c r="C80" s="1589"/>
      <c r="D80" s="1590"/>
      <c r="E80" s="1591"/>
      <c r="F80" s="1586"/>
      <c r="N80" s="1324"/>
    </row>
    <row r="81" spans="1:14" x14ac:dyDescent="0.2">
      <c r="A81" s="823" t="str">
        <f>+'[15]balance sheet P&amp;L'!B63</f>
        <v>(FRN  -119250W)</v>
      </c>
      <c r="B81" s="1589"/>
      <c r="C81" s="1589"/>
      <c r="D81" s="1590"/>
      <c r="E81" s="1591"/>
      <c r="F81" s="1586"/>
    </row>
    <row r="82" spans="1:14" ht="30" customHeight="1" x14ac:dyDescent="0.2">
      <c r="A82" s="823"/>
      <c r="B82" s="1589"/>
      <c r="C82" s="1589"/>
      <c r="D82" s="1589"/>
      <c r="E82" s="1592"/>
      <c r="F82" s="1586"/>
    </row>
    <row r="83" spans="1:14" x14ac:dyDescent="0.2">
      <c r="A83" s="823" t="str">
        <f>+'[15]balance sheet P&amp;L'!B65</f>
        <v>(CA U. M. Jain)</v>
      </c>
      <c r="B83" s="1589"/>
      <c r="C83" s="1589"/>
      <c r="D83" s="1589"/>
      <c r="E83" s="1592"/>
      <c r="F83" s="1586"/>
    </row>
    <row r="84" spans="1:14" x14ac:dyDescent="0.2">
      <c r="A84" s="823" t="str">
        <f>+'[15]balance sheet P&amp;L'!B66</f>
        <v>Partner (ICAI M No. 070863)</v>
      </c>
      <c r="B84" s="1593"/>
      <c r="C84" s="1326" t="str">
        <f>+'[15]balance sheet P&amp;L'!C66</f>
        <v>Balasaheb Thite</v>
      </c>
      <c r="D84" s="1594"/>
      <c r="E84" s="1595" t="str">
        <f>+'[15]balance sheet P&amp;L'!E66</f>
        <v>Dr.P. Anbalagan</v>
      </c>
      <c r="F84" s="1586"/>
    </row>
    <row r="85" spans="1:14" x14ac:dyDescent="0.2">
      <c r="A85" s="823"/>
      <c r="B85" s="1593"/>
      <c r="C85" s="1326" t="str">
        <f>+'[15]balance sheet P&amp;L'!C67</f>
        <v>Director (Finance) &amp; CFO</v>
      </c>
      <c r="D85" s="1594"/>
      <c r="E85" s="1596" t="str">
        <f>+'[15]balance sheet P&amp;L'!E67</f>
        <v>Chairman &amp; Managing Director</v>
      </c>
      <c r="F85" s="1586"/>
    </row>
    <row r="86" spans="1:14" x14ac:dyDescent="0.2">
      <c r="A86" s="823"/>
      <c r="B86" s="1593"/>
      <c r="C86" s="1326" t="str">
        <f>+'[15]balance sheet P&amp;L'!C68</f>
        <v xml:space="preserve"> DIN No.08923676</v>
      </c>
      <c r="D86" s="1594"/>
      <c r="E86" s="1595" t="str">
        <f>+'[15]balance sheet P&amp;L'!E68</f>
        <v>DIN No.05117747</v>
      </c>
      <c r="F86" s="1586"/>
    </row>
    <row r="87" spans="1:14" x14ac:dyDescent="0.2">
      <c r="A87" s="315" t="str">
        <f>+'[15]balance sheet P&amp;L'!B68</f>
        <v>For Shah and Taparia</v>
      </c>
      <c r="B87" s="1326"/>
      <c r="C87" s="1326"/>
      <c r="D87" s="1589"/>
      <c r="E87" s="1592"/>
      <c r="F87" s="1586"/>
    </row>
    <row r="88" spans="1:14" x14ac:dyDescent="0.2">
      <c r="A88" s="823" t="str">
        <f>+'[15]balance sheet P&amp;L'!B69</f>
        <v>Chartered Accountants</v>
      </c>
      <c r="B88" s="1589"/>
      <c r="C88" s="1597"/>
      <c r="D88" s="1589"/>
      <c r="E88" s="1592"/>
      <c r="F88" s="1586"/>
    </row>
    <row r="89" spans="1:14" x14ac:dyDescent="0.2">
      <c r="A89" s="823" t="str">
        <f>+'[15]balance sheet P&amp;L'!B70</f>
        <v>(FRN  - 109463W )</v>
      </c>
      <c r="B89" s="1589"/>
      <c r="C89" s="1597"/>
      <c r="D89" s="1589"/>
      <c r="E89" s="1592"/>
      <c r="F89" s="1586"/>
    </row>
    <row r="90" spans="1:14" ht="30" customHeight="1" x14ac:dyDescent="0.2">
      <c r="A90" s="823"/>
      <c r="B90" s="1593"/>
      <c r="C90" s="1597" t="str">
        <f>+'[15]balance sheet P&amp;L'!C72</f>
        <v>Vishwanath Kulkarni</v>
      </c>
      <c r="D90" s="1594"/>
      <c r="E90" s="1595" t="str">
        <f>+'[15]balance sheet P&amp;L'!E72</f>
        <v>Rahul Dubey</v>
      </c>
      <c r="F90" s="1586"/>
      <c r="N90" s="808">
        <v>3336.1549253307599</v>
      </c>
    </row>
    <row r="91" spans="1:14" x14ac:dyDescent="0.2">
      <c r="A91" s="823" t="str">
        <f>'[15]balance sheet P&amp;L'!B72</f>
        <v>(CA Bharat Ramesh Joshi)</v>
      </c>
      <c r="B91" s="1593"/>
      <c r="C91" s="1597" t="str">
        <f>+'[15]balance sheet P&amp;L'!C73</f>
        <v>Chief General Manager (A/c)</v>
      </c>
      <c r="D91" s="1594"/>
      <c r="E91" s="1595" t="str">
        <f>+'[15]balance sheet P&amp;L'!E73</f>
        <v>Company Secretary</v>
      </c>
      <c r="F91" s="1586"/>
    </row>
    <row r="92" spans="1:14" x14ac:dyDescent="0.2">
      <c r="A92" s="823" t="str">
        <f>+'[15]balance sheet P&amp;L'!B73</f>
        <v>Partner (ICAI M No. 130863)</v>
      </c>
      <c r="B92" s="1597"/>
      <c r="C92" s="1323"/>
      <c r="D92" s="1594"/>
      <c r="E92" s="1595" t="str">
        <f>+'[15]balance sheet P&amp;L'!E74</f>
        <v>M No. A14213</v>
      </c>
      <c r="F92" s="1586"/>
    </row>
    <row r="93" spans="1:14" x14ac:dyDescent="0.2">
      <c r="A93" s="823" t="str">
        <f>+'[15]balance sheet P&amp;L'!B74</f>
        <v>Mumbai, 20th September, 2024</v>
      </c>
      <c r="B93" s="1598"/>
      <c r="C93" s="1598"/>
      <c r="D93" s="1598"/>
      <c r="E93" s="1599"/>
      <c r="F93" s="1586"/>
    </row>
    <row r="94" spans="1:14" x14ac:dyDescent="0.2">
      <c r="A94" s="1600"/>
      <c r="B94" s="1601"/>
      <c r="C94" s="1602"/>
      <c r="D94" s="1603"/>
      <c r="E94" s="1604"/>
      <c r="F94" s="1586"/>
    </row>
    <row r="97" spans="2:6" x14ac:dyDescent="0.2">
      <c r="B97" s="1522" t="s">
        <v>2409</v>
      </c>
      <c r="D97" s="1522">
        <f>+'[15]Balance sheet groupings'!D671</f>
        <v>126.15593710000002</v>
      </c>
      <c r="E97" s="1522">
        <f>+'[15]Balance sheet groupings'!E661</f>
        <v>13.0395278</v>
      </c>
    </row>
    <row r="98" spans="2:6" x14ac:dyDescent="0.2">
      <c r="E98" s="1522">
        <f>+'[15]Balance sheet groupings'!E664</f>
        <v>51.338448</v>
      </c>
    </row>
    <row r="99" spans="2:6" x14ac:dyDescent="0.2">
      <c r="D99" s="1522">
        <f>(+D97+D98)</f>
        <v>126.15593710000002</v>
      </c>
      <c r="E99" s="1522">
        <f>+E97+E98</f>
        <v>64.377975800000002</v>
      </c>
    </row>
    <row r="103" spans="2:6" x14ac:dyDescent="0.2">
      <c r="B103" s="1522" t="s">
        <v>2410</v>
      </c>
    </row>
    <row r="104" spans="2:6" x14ac:dyDescent="0.2">
      <c r="B104" s="1522" t="s">
        <v>2411</v>
      </c>
      <c r="D104" s="1038">
        <v>5028.3436283000001</v>
      </c>
      <c r="E104" s="1605">
        <f>5443.1246384+4.0669728</f>
        <v>5447.1916111999999</v>
      </c>
      <c r="F104" s="1522">
        <v>3078.1368219999999</v>
      </c>
    </row>
    <row r="105" spans="2:6" x14ac:dyDescent="0.2">
      <c r="D105" s="1038"/>
      <c r="E105" s="1605"/>
    </row>
    <row r="106" spans="2:6" x14ac:dyDescent="0.2">
      <c r="D106" s="1038">
        <f>SUM(D104:D105)</f>
        <v>5028.3436283000001</v>
      </c>
      <c r="E106" s="1038">
        <f>SUM(E104:E105)</f>
        <v>5447.1916111999999</v>
      </c>
    </row>
    <row r="107" spans="2:6" x14ac:dyDescent="0.2">
      <c r="B107" s="1522" t="s">
        <v>2412</v>
      </c>
      <c r="D107" s="1522">
        <v>5069.376387067925</v>
      </c>
      <c r="E107" s="1522">
        <f>3539.96228020305+9.08437039999998</f>
        <v>3549.0466506030498</v>
      </c>
      <c r="F107" s="1522">
        <f>2481.0349916+(85992264/10^7)</f>
        <v>2489.6342180000001</v>
      </c>
    </row>
    <row r="108" spans="2:6" x14ac:dyDescent="0.2">
      <c r="D108" s="1606">
        <f>(+D104-D107)</f>
        <v>-41.032758767924861</v>
      </c>
      <c r="E108" s="1606">
        <f>(+E104-E107)</f>
        <v>1898.1449605969501</v>
      </c>
      <c r="F108" s="1522">
        <f>+F104-F107</f>
        <v>588.50260399999979</v>
      </c>
    </row>
    <row r="109" spans="2:6" x14ac:dyDescent="0.2">
      <c r="D109" s="1606"/>
      <c r="E109" s="1606"/>
      <c r="F109" s="1606"/>
    </row>
    <row r="110" spans="2:6" x14ac:dyDescent="0.2">
      <c r="C110" s="1522" t="s">
        <v>2413</v>
      </c>
      <c r="D110" s="1606">
        <f>(+D108-D109)</f>
        <v>-41.032758767924861</v>
      </c>
      <c r="E110" s="1606">
        <f>(+E108-E109)</f>
        <v>1898.1449605969501</v>
      </c>
      <c r="F110" s="1606">
        <f>+F108-F109</f>
        <v>588.50260399999979</v>
      </c>
    </row>
    <row r="112" spans="2:6" x14ac:dyDescent="0.2">
      <c r="B112" s="1607" t="s">
        <v>2414</v>
      </c>
      <c r="C112" s="1607"/>
    </row>
    <row r="113" spans="2:14" x14ac:dyDescent="0.2">
      <c r="B113" s="1608" t="str">
        <f>+A31</f>
        <v xml:space="preserve">Increase / (Decrease) in Liabilites and Other Payables  </v>
      </c>
      <c r="C113" s="1607"/>
      <c r="N113" s="1609"/>
    </row>
    <row r="120" spans="2:14" x14ac:dyDescent="0.2">
      <c r="B120" s="1522">
        <v>1894.0779877999939</v>
      </c>
    </row>
    <row r="121" spans="2:14" x14ac:dyDescent="0.2">
      <c r="B121" s="1610">
        <f>B120-D110</f>
        <v>1935.1107465679188</v>
      </c>
    </row>
  </sheetData>
  <mergeCells count="7">
    <mergeCell ref="A64:E64"/>
    <mergeCell ref="A1:E1"/>
    <mergeCell ref="A2:E2"/>
    <mergeCell ref="A9:C9"/>
    <mergeCell ref="A40:C40"/>
    <mergeCell ref="A42:C42"/>
    <mergeCell ref="A63:E6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6"/>
  <sheetViews>
    <sheetView workbookViewId="0">
      <selection activeCell="C18" sqref="C18"/>
    </sheetView>
  </sheetViews>
  <sheetFormatPr defaultColWidth="16.85546875" defaultRowHeight="12.75" x14ac:dyDescent="0.2"/>
  <cols>
    <col min="1" max="1" width="26.5703125" customWidth="1"/>
    <col min="2" max="2" width="19.7109375" customWidth="1"/>
    <col min="3" max="3" width="23.42578125" customWidth="1"/>
    <col min="4" max="4" width="19.42578125" customWidth="1"/>
    <col min="5" max="5" width="12.42578125" customWidth="1"/>
    <col min="6" max="6" width="21.140625" customWidth="1"/>
    <col min="7" max="7" width="16.42578125" bestFit="1" customWidth="1"/>
    <col min="8" max="10" width="12.42578125" customWidth="1"/>
    <col min="11" max="12" width="12.42578125" hidden="1" customWidth="1"/>
    <col min="13" max="14" width="12.42578125" customWidth="1"/>
    <col min="15" max="15" width="2" customWidth="1"/>
    <col min="16" max="16" width="11.7109375" customWidth="1"/>
    <col min="17" max="18" width="0" hidden="1" customWidth="1"/>
    <col min="20" max="20" width="17.140625" bestFit="1" customWidth="1"/>
  </cols>
  <sheetData>
    <row r="2" spans="1:18" ht="15" x14ac:dyDescent="0.25">
      <c r="A2" s="1481" t="s">
        <v>2328</v>
      </c>
      <c r="B2" s="1482" t="s">
        <v>2329</v>
      </c>
      <c r="C2" s="1483"/>
      <c r="D2" s="1483"/>
      <c r="E2" s="1483"/>
      <c r="F2" s="1483"/>
      <c r="G2" s="1483"/>
      <c r="H2" s="1483"/>
      <c r="I2" s="1483"/>
      <c r="J2" s="1483"/>
      <c r="K2" s="1483"/>
      <c r="L2" s="1483"/>
      <c r="M2" s="1483"/>
      <c r="N2" s="1483"/>
      <c r="O2" s="1483"/>
      <c r="P2" s="1484"/>
    </row>
    <row r="3" spans="1:18" x14ac:dyDescent="0.2">
      <c r="A3" s="1457"/>
      <c r="B3" s="1485"/>
      <c r="C3" s="1485"/>
      <c r="D3" s="1485"/>
      <c r="E3" s="1485"/>
      <c r="F3" s="1485"/>
      <c r="G3" s="1485"/>
      <c r="H3" s="1485"/>
      <c r="I3" s="1485"/>
      <c r="J3" s="1485"/>
      <c r="K3" s="1485"/>
      <c r="L3" s="1485"/>
      <c r="M3" s="1485"/>
      <c r="N3" s="1485"/>
      <c r="O3" s="1485"/>
      <c r="P3" s="1486" t="s">
        <v>547</v>
      </c>
    </row>
    <row r="4" spans="1:18" s="1492" customFormat="1" hidden="1" x14ac:dyDescent="0.2">
      <c r="A4" s="1487"/>
      <c r="B4" s="1488" t="s">
        <v>1906</v>
      </c>
      <c r="C4" s="1489">
        <v>14101</v>
      </c>
      <c r="D4" s="1489"/>
      <c r="E4" s="1489">
        <v>14201</v>
      </c>
      <c r="F4" s="1489">
        <v>14202</v>
      </c>
      <c r="G4" s="1489"/>
      <c r="H4" s="1489"/>
      <c r="I4" s="1489">
        <v>14402</v>
      </c>
      <c r="J4" s="1489">
        <v>14501</v>
      </c>
      <c r="K4" s="1489"/>
      <c r="L4" s="1489">
        <v>14701</v>
      </c>
      <c r="M4" s="1489">
        <v>14801</v>
      </c>
      <c r="N4" s="1489">
        <v>14901</v>
      </c>
      <c r="O4" s="1485"/>
      <c r="P4" s="1489">
        <v>14961</v>
      </c>
      <c r="Q4" s="1490"/>
      <c r="R4" s="1491"/>
    </row>
    <row r="5" spans="1:18" s="1497" customFormat="1" ht="25.5" x14ac:dyDescent="0.2">
      <c r="A5" s="1493"/>
      <c r="B5" s="1494" t="s">
        <v>2330</v>
      </c>
      <c r="C5" s="1494" t="s">
        <v>2331</v>
      </c>
      <c r="D5" s="1494" t="s">
        <v>2332</v>
      </c>
      <c r="E5" s="1494" t="s">
        <v>2333</v>
      </c>
      <c r="F5" s="1494" t="s">
        <v>2334</v>
      </c>
      <c r="G5" s="1494" t="s">
        <v>2335</v>
      </c>
      <c r="H5" s="1494" t="s">
        <v>2336</v>
      </c>
      <c r="I5" s="1494" t="s">
        <v>2337</v>
      </c>
      <c r="J5" s="1494" t="s">
        <v>2338</v>
      </c>
      <c r="K5" s="1494" t="s">
        <v>2339</v>
      </c>
      <c r="L5" s="1494" t="s">
        <v>224</v>
      </c>
      <c r="M5" s="1494" t="s">
        <v>2340</v>
      </c>
      <c r="N5" s="1494" t="s">
        <v>2341</v>
      </c>
      <c r="O5" s="850"/>
      <c r="P5" s="1494" t="s">
        <v>2342</v>
      </c>
      <c r="Q5" s="1495" t="s">
        <v>2343</v>
      </c>
      <c r="R5" s="1496" t="s">
        <v>7</v>
      </c>
    </row>
    <row r="6" spans="1:18" s="1497" customFormat="1" ht="15" hidden="1" x14ac:dyDescent="0.2">
      <c r="A6" s="1493"/>
      <c r="B6" s="1498"/>
      <c r="C6" s="1496"/>
      <c r="D6" s="1496"/>
      <c r="E6" s="1496"/>
      <c r="F6" s="1496"/>
      <c r="G6" s="1496"/>
      <c r="H6" s="1496"/>
      <c r="I6" s="1496"/>
      <c r="J6" s="1496"/>
      <c r="K6" s="1496"/>
      <c r="L6" s="1496"/>
      <c r="M6" s="1496"/>
      <c r="N6" s="1496"/>
      <c r="O6" s="856"/>
      <c r="P6" s="1496"/>
      <c r="Q6" s="1495"/>
      <c r="R6" s="1496"/>
    </row>
    <row r="7" spans="1:18" s="1063" customFormat="1" ht="15" hidden="1" x14ac:dyDescent="0.2">
      <c r="A7" s="1146" t="s">
        <v>2344</v>
      </c>
      <c r="B7" s="1499">
        <f>SUM(C7:P7)</f>
        <v>21829.629718000997</v>
      </c>
      <c r="C7" s="1500">
        <v>5.3534222999999999E-2</v>
      </c>
      <c r="D7" s="1500"/>
      <c r="E7" s="1500">
        <v>2662.4212238560003</v>
      </c>
      <c r="F7" s="1500">
        <v>10.213441107</v>
      </c>
      <c r="G7" s="1500"/>
      <c r="H7" s="1500"/>
      <c r="I7" s="1500">
        <v>0</v>
      </c>
      <c r="J7" s="1500">
        <v>19156.937018695</v>
      </c>
      <c r="K7" s="1500"/>
      <c r="L7" s="1500">
        <v>0</v>
      </c>
      <c r="M7" s="1500">
        <v>4.4999999999999997E-3</v>
      </c>
      <c r="N7" s="1500">
        <v>1.1999999999999999E-7</v>
      </c>
      <c r="O7" s="856"/>
      <c r="P7" s="1500">
        <v>0</v>
      </c>
      <c r="Q7" s="1501"/>
      <c r="R7" s="1146"/>
    </row>
    <row r="8" spans="1:18" s="1063" customFormat="1" ht="15" hidden="1" x14ac:dyDescent="0.2">
      <c r="A8" s="1146" t="s">
        <v>58</v>
      </c>
      <c r="B8" s="1499">
        <f>SUM(C8:P8)</f>
        <v>20675.901029074001</v>
      </c>
      <c r="C8" s="1500">
        <v>21.242948481999999</v>
      </c>
      <c r="D8" s="1500"/>
      <c r="E8" s="1500">
        <v>2847.9849417300002</v>
      </c>
      <c r="F8" s="1500">
        <v>11.001925354999999</v>
      </c>
      <c r="G8" s="1500"/>
      <c r="H8" s="1500"/>
      <c r="I8" s="1500">
        <v>0</v>
      </c>
      <c r="J8" s="1500">
        <v>17779.159497953999</v>
      </c>
      <c r="K8" s="1500"/>
      <c r="L8" s="1500">
        <v>3.419116893</v>
      </c>
      <c r="M8" s="1500">
        <v>2.8012499999999999E-2</v>
      </c>
      <c r="N8" s="1500">
        <v>12.968779012000001</v>
      </c>
      <c r="O8" s="856"/>
      <c r="P8" s="1500">
        <v>9.5807147999999995E-2</v>
      </c>
      <c r="Q8" s="1501"/>
      <c r="R8" s="1146"/>
    </row>
    <row r="9" spans="1:18" s="1063" customFormat="1" ht="15" hidden="1" x14ac:dyDescent="0.2">
      <c r="A9" s="1146" t="s">
        <v>2345</v>
      </c>
      <c r="B9" s="1499">
        <f>SUM(C9:P9)</f>
        <v>21922.614723667</v>
      </c>
      <c r="C9" s="1500">
        <v>11.310779999999999</v>
      </c>
      <c r="D9" s="1500"/>
      <c r="E9" s="1500">
        <v>1943.9761831990002</v>
      </c>
      <c r="F9" s="1500">
        <v>2.8823529130000001</v>
      </c>
      <c r="G9" s="1500"/>
      <c r="H9" s="1500"/>
      <c r="I9" s="1500">
        <v>0</v>
      </c>
      <c r="J9" s="1500">
        <v>19952.712612326999</v>
      </c>
      <c r="K9" s="1500"/>
      <c r="L9" s="1500">
        <v>3.4114353659999996</v>
      </c>
      <c r="M9" s="1500">
        <v>3.25125E-2</v>
      </c>
      <c r="N9" s="1500">
        <v>8.1930402139999998</v>
      </c>
      <c r="O9" s="856"/>
      <c r="P9" s="1500">
        <v>9.5807147999999995E-2</v>
      </c>
      <c r="Q9" s="1501"/>
      <c r="R9" s="1146"/>
    </row>
    <row r="10" spans="1:18" s="1063" customFormat="1" ht="15" hidden="1" x14ac:dyDescent="0.2">
      <c r="A10" s="1146" t="s">
        <v>2346</v>
      </c>
      <c r="B10" s="1499">
        <f>SUM(C10:P10)</f>
        <v>20582.916023408001</v>
      </c>
      <c r="C10" s="1500">
        <f t="shared" ref="C10:N10" si="0">C7+C8-C9</f>
        <v>9.9857027049999996</v>
      </c>
      <c r="D10" s="1500"/>
      <c r="E10" s="1500">
        <f t="shared" si="0"/>
        <v>3566.4299823870006</v>
      </c>
      <c r="F10" s="1500">
        <f t="shared" si="0"/>
        <v>18.333013549</v>
      </c>
      <c r="G10" s="1500"/>
      <c r="H10" s="1500"/>
      <c r="I10" s="1500">
        <f t="shared" si="0"/>
        <v>0</v>
      </c>
      <c r="J10" s="1500">
        <f t="shared" si="0"/>
        <v>16983.383904322</v>
      </c>
      <c r="K10" s="1500"/>
      <c r="L10" s="1500">
        <f t="shared" si="0"/>
        <v>7.6815270000003544E-3</v>
      </c>
      <c r="M10" s="1500">
        <f t="shared" si="0"/>
        <v>0</v>
      </c>
      <c r="N10" s="1500">
        <f t="shared" si="0"/>
        <v>4.7757389180000001</v>
      </c>
      <c r="O10" s="856"/>
      <c r="P10" s="1500">
        <f>P7+P8-P9</f>
        <v>0</v>
      </c>
      <c r="Q10" s="1501"/>
      <c r="R10" s="1146"/>
    </row>
    <row r="11" spans="1:18" s="1063" customFormat="1" ht="15" x14ac:dyDescent="0.2">
      <c r="A11" s="1146"/>
      <c r="B11" s="1502"/>
      <c r="C11" s="1503"/>
      <c r="D11" s="1503"/>
      <c r="E11" s="1503"/>
      <c r="F11" s="1503"/>
      <c r="G11" s="1503"/>
      <c r="H11" s="1503"/>
      <c r="I11" s="1503"/>
      <c r="J11" s="1503"/>
      <c r="K11" s="1503"/>
      <c r="L11" s="1503"/>
      <c r="M11" s="1503"/>
      <c r="N11" s="1503"/>
      <c r="O11" s="818"/>
      <c r="P11" s="1503"/>
      <c r="Q11" s="1501"/>
      <c r="R11" s="1146"/>
    </row>
    <row r="12" spans="1:18" s="1063" customFormat="1" ht="15.75" customHeight="1" x14ac:dyDescent="0.2">
      <c r="A12" s="1173" t="str">
        <f>'[15]Statement of changes in equity'!$A$5</f>
        <v>As on 31.03.2022</v>
      </c>
      <c r="B12" s="1504">
        <f t="shared" ref="B12:B18" si="1">SUM(C12:N12)</f>
        <v>4774.2095525319992</v>
      </c>
      <c r="C12" s="1150">
        <v>1.0268333459999983</v>
      </c>
      <c r="D12" s="1150">
        <v>0</v>
      </c>
      <c r="E12" s="1150">
        <v>1358.7940881850006</v>
      </c>
      <c r="F12" s="1150">
        <v>33.960707766999995</v>
      </c>
      <c r="G12" s="1150">
        <v>0.99034164400000257</v>
      </c>
      <c r="H12" s="1150">
        <v>1.9760687140000002</v>
      </c>
      <c r="I12" s="1150">
        <v>37.794797907999993</v>
      </c>
      <c r="J12" s="1150">
        <v>3339.2039952649984</v>
      </c>
      <c r="K12" s="1150">
        <v>0</v>
      </c>
      <c r="L12" s="1150">
        <v>5.2600000042514037E-7</v>
      </c>
      <c r="M12" s="1150">
        <v>1.2851580000003415E-3</v>
      </c>
      <c r="N12" s="1150">
        <v>0.46143401900000391</v>
      </c>
      <c r="O12" s="847"/>
      <c r="P12" s="1150">
        <v>378.067937207</v>
      </c>
      <c r="Q12" s="1501"/>
      <c r="R12" s="1146"/>
    </row>
    <row r="13" spans="1:18" s="1063" customFormat="1" ht="15.75" customHeight="1" x14ac:dyDescent="0.2">
      <c r="A13" s="1146" t="s">
        <v>58</v>
      </c>
      <c r="B13" s="1505">
        <f t="shared" si="1"/>
        <v>1439.369352446</v>
      </c>
      <c r="C13" s="1150"/>
      <c r="D13" s="1150"/>
      <c r="E13" s="1150">
        <v>251.13428425500001</v>
      </c>
      <c r="F13" s="1150">
        <v>2.036730704</v>
      </c>
      <c r="G13" s="1150">
        <v>-1.5901999999999999E-3</v>
      </c>
      <c r="H13" s="1150"/>
      <c r="I13" s="1150">
        <v>12.822270904</v>
      </c>
      <c r="J13" s="1150">
        <f>1209.537932437+([15]restated!R62+[15]restated!R63)/10^7</f>
        <v>1172.9905706100001</v>
      </c>
      <c r="K13" s="1150"/>
      <c r="L13" s="1150">
        <v>0</v>
      </c>
      <c r="M13" s="1150">
        <v>-9.6504999999999996E-4</v>
      </c>
      <c r="N13" s="1150">
        <v>0.388051223</v>
      </c>
      <c r="O13" s="847"/>
      <c r="P13" s="1150">
        <v>196.09392381400002</v>
      </c>
      <c r="Q13" s="1501"/>
      <c r="R13" s="1146"/>
    </row>
    <row r="14" spans="1:18" s="1063" customFormat="1" ht="15.75" customHeight="1" x14ac:dyDescent="0.2">
      <c r="A14" s="1146" t="s">
        <v>2345</v>
      </c>
      <c r="B14" s="1505">
        <f t="shared" si="1"/>
        <v>390.35325996199998</v>
      </c>
      <c r="C14" s="1150">
        <v>1.0268333460000001</v>
      </c>
      <c r="D14" s="1150"/>
      <c r="E14" s="1150">
        <v>39.747238364999994</v>
      </c>
      <c r="F14" s="1150">
        <v>3.5749274939999998</v>
      </c>
      <c r="G14" s="1150">
        <v>0.98875144399999992</v>
      </c>
      <c r="H14" s="1150"/>
      <c r="I14" s="1150">
        <v>28.559565008999996</v>
      </c>
      <c r="J14" s="1150">
        <v>316.445124292</v>
      </c>
      <c r="K14" s="1150"/>
      <c r="L14" s="1150">
        <v>0</v>
      </c>
      <c r="M14" s="1150">
        <v>3.2001799999999998E-4</v>
      </c>
      <c r="N14" s="1150">
        <v>1.0499994E-2</v>
      </c>
      <c r="O14" s="847"/>
      <c r="P14" s="1150">
        <v>0</v>
      </c>
      <c r="Q14" s="1501"/>
      <c r="R14" s="1146"/>
    </row>
    <row r="15" spans="1:18" s="1061" customFormat="1" ht="15.75" customHeight="1" x14ac:dyDescent="0.2">
      <c r="A15" s="1173" t="str">
        <f>'[15]Statement of changes in equity'!$A$9</f>
        <v>As at 31.03.2023</v>
      </c>
      <c r="B15" s="1504">
        <f t="shared" si="1"/>
        <v>5823.2256450159985</v>
      </c>
      <c r="C15" s="1310">
        <f t="shared" ref="C15:N15" si="2">C12+C13-C14</f>
        <v>-1.7763568394002505E-15</v>
      </c>
      <c r="D15" s="1310">
        <f t="shared" si="2"/>
        <v>0</v>
      </c>
      <c r="E15" s="1310">
        <f t="shared" si="2"/>
        <v>1570.1811340750007</v>
      </c>
      <c r="F15" s="1310">
        <f t="shared" si="2"/>
        <v>32.422510976999995</v>
      </c>
      <c r="G15" s="1310">
        <f t="shared" si="2"/>
        <v>2.6645352591003757E-15</v>
      </c>
      <c r="H15" s="1310">
        <f t="shared" si="2"/>
        <v>1.9760687140000002</v>
      </c>
      <c r="I15" s="1310">
        <f t="shared" si="2"/>
        <v>22.057503802999996</v>
      </c>
      <c r="J15" s="1310">
        <f t="shared" si="2"/>
        <v>4195.7494415829979</v>
      </c>
      <c r="K15" s="1310">
        <f t="shared" si="2"/>
        <v>0</v>
      </c>
      <c r="L15" s="1310">
        <f t="shared" si="2"/>
        <v>5.2600000042514037E-7</v>
      </c>
      <c r="M15" s="1310">
        <f t="shared" si="2"/>
        <v>9.0000000341585503E-8</v>
      </c>
      <c r="N15" s="1310">
        <f t="shared" si="2"/>
        <v>0.83898524800000385</v>
      </c>
      <c r="O15" s="847"/>
      <c r="P15" s="1310">
        <f>P12+P13-P14</f>
        <v>574.16186102100005</v>
      </c>
      <c r="Q15" s="1299">
        <v>24.011709239999998</v>
      </c>
      <c r="R15" s="1506">
        <f>+B15-Q15</f>
        <v>5799.2139357759988</v>
      </c>
    </row>
    <row r="16" spans="1:18" s="1063" customFormat="1" ht="15.75" customHeight="1" x14ac:dyDescent="0.2">
      <c r="A16" s="1146" t="s">
        <v>58</v>
      </c>
      <c r="B16" s="1505">
        <f t="shared" si="1"/>
        <v>1673.951051218</v>
      </c>
      <c r="C16" s="1150"/>
      <c r="D16" s="1150"/>
      <c r="E16" s="1150">
        <f>(C37)/10000000</f>
        <v>317.29336584499998</v>
      </c>
      <c r="F16" s="1150">
        <f>(C38)/10000000</f>
        <v>6.3613598079999996</v>
      </c>
      <c r="G16" s="1150">
        <f>C39/10^7</f>
        <v>0</v>
      </c>
      <c r="H16" s="1150"/>
      <c r="I16" s="1150">
        <f>(C40+C41)/10000000</f>
        <v>19.137997755000001</v>
      </c>
      <c r="J16" s="1150">
        <f>((C42+C34)/10000000)-([15]restated!R62+[15]restated!R63)/10^7</f>
        <v>1328.060391793</v>
      </c>
      <c r="K16" s="1150"/>
      <c r="L16" s="1150">
        <f>(C45)/10000000</f>
        <v>-4.9699999999999996E-7</v>
      </c>
      <c r="M16" s="1150">
        <f>(C46)/10000000</f>
        <v>-8.7999999999999994E-8</v>
      </c>
      <c r="N16" s="1150">
        <f>(C47)/10000000</f>
        <v>3.0979366019999999</v>
      </c>
      <c r="O16" s="847"/>
      <c r="P16" s="1150">
        <f>(C48)/10000000</f>
        <v>67.917480804999997</v>
      </c>
      <c r="Q16" s="1501"/>
      <c r="R16" s="1146"/>
    </row>
    <row r="17" spans="1:18" s="1063" customFormat="1" ht="15.75" customHeight="1" x14ac:dyDescent="0.2">
      <c r="A17" s="1146" t="s">
        <v>2345</v>
      </c>
      <c r="B17" s="1505">
        <f t="shared" si="1"/>
        <v>237.462641203</v>
      </c>
      <c r="C17" s="1507">
        <f>((D35+D36)/10000000)*-1</f>
        <v>0</v>
      </c>
      <c r="D17" s="1150"/>
      <c r="E17" s="1150">
        <f>((D37)/10000000)*-1</f>
        <v>53.573915219999996</v>
      </c>
      <c r="F17" s="1150">
        <f>((D38)/10000000)*-1</f>
        <v>0.250794348</v>
      </c>
      <c r="G17" s="1150">
        <f>-D39/10^7</f>
        <v>0</v>
      </c>
      <c r="H17" s="1150"/>
      <c r="I17" s="1150">
        <f>((D40+D41)/10000000)*-1</f>
        <v>11.981374562000001</v>
      </c>
      <c r="J17" s="1150">
        <f>((D34+D42+E42)/10000000)*-1</f>
        <v>171.55846974100001</v>
      </c>
      <c r="K17" s="1150"/>
      <c r="L17" s="1150">
        <f>((D45)/10000000)*-1</f>
        <v>0</v>
      </c>
      <c r="M17" s="1150">
        <f>((D46)/10000000)*-1</f>
        <v>0</v>
      </c>
      <c r="N17" s="1150">
        <f>((D47)/10000000)*-1</f>
        <v>9.8087331999999999E-2</v>
      </c>
      <c r="O17" s="847"/>
      <c r="P17" s="1150">
        <f>((D48)/10000000)*-1</f>
        <v>0</v>
      </c>
      <c r="Q17" s="1501"/>
      <c r="R17" s="1146"/>
    </row>
    <row r="18" spans="1:18" s="1061" customFormat="1" ht="15.75" customHeight="1" x14ac:dyDescent="0.2">
      <c r="A18" s="1173" t="str">
        <f>'[15]Statement of changes in equity'!$A$11</f>
        <v>As at 31.03.2024</v>
      </c>
      <c r="B18" s="1504">
        <f t="shared" si="1"/>
        <v>7259.7140550309987</v>
      </c>
      <c r="C18" s="1310">
        <f t="shared" ref="C18:N18" si="3">C15+C16-C17</f>
        <v>-1.7763568394002505E-15</v>
      </c>
      <c r="D18" s="1310">
        <f t="shared" si="3"/>
        <v>0</v>
      </c>
      <c r="E18" s="1310">
        <f t="shared" si="3"/>
        <v>1833.9005847000008</v>
      </c>
      <c r="F18" s="1310">
        <f t="shared" si="3"/>
        <v>38.533076436999991</v>
      </c>
      <c r="G18" s="1310">
        <f t="shared" si="3"/>
        <v>2.6645352591003757E-15</v>
      </c>
      <c r="H18" s="1310">
        <f t="shared" si="3"/>
        <v>1.9760687140000002</v>
      </c>
      <c r="I18" s="1310">
        <f t="shared" si="3"/>
        <v>29.214126995999997</v>
      </c>
      <c r="J18" s="1310">
        <f t="shared" si="3"/>
        <v>5352.2513636349977</v>
      </c>
      <c r="K18" s="1310">
        <f t="shared" si="3"/>
        <v>0</v>
      </c>
      <c r="L18" s="1310">
        <f t="shared" si="3"/>
        <v>2.9000000425140403E-8</v>
      </c>
      <c r="M18" s="1310">
        <f t="shared" si="3"/>
        <v>2.0000003415855092E-9</v>
      </c>
      <c r="N18" s="1310">
        <f t="shared" si="3"/>
        <v>3.8388345180000036</v>
      </c>
      <c r="O18" s="847"/>
      <c r="P18" s="1310">
        <f>P15+P16-P17</f>
        <v>642.07934182600002</v>
      </c>
      <c r="Q18" s="1299">
        <v>24.011709239999998</v>
      </c>
      <c r="R18" s="1506">
        <f>+B18-Q18</f>
        <v>7235.7023457909991</v>
      </c>
    </row>
    <row r="19" spans="1:18" s="1061" customFormat="1" ht="15.75" customHeight="1" x14ac:dyDescent="0.2">
      <c r="A19" s="1173" t="s">
        <v>2347</v>
      </c>
      <c r="B19" s="1504"/>
      <c r="C19" s="1310"/>
      <c r="D19" s="1310"/>
      <c r="E19" s="1310"/>
      <c r="F19" s="1310"/>
      <c r="G19" s="1310"/>
      <c r="H19" s="1310"/>
      <c r="I19" s="1310"/>
      <c r="J19" s="1310"/>
      <c r="K19" s="1310"/>
      <c r="L19" s="1310"/>
      <c r="M19" s="1310"/>
      <c r="N19" s="1310"/>
      <c r="O19" s="847"/>
      <c r="P19" s="1310"/>
      <c r="R19" s="1508"/>
    </row>
    <row r="20" spans="1:18" s="1061" customFormat="1" ht="25.5" x14ac:dyDescent="0.2">
      <c r="A20" s="1493" t="s">
        <v>2348</v>
      </c>
      <c r="B20" s="1505">
        <f>SUM(C20:N20)</f>
        <v>70.701254707000004</v>
      </c>
      <c r="C20" s="1310"/>
      <c r="D20" s="1310"/>
      <c r="E20" s="1310"/>
      <c r="F20" s="1310"/>
      <c r="G20" s="1310"/>
      <c r="H20" s="1310"/>
      <c r="I20" s="1310"/>
      <c r="J20" s="1310">
        <v>70.701254707000004</v>
      </c>
      <c r="K20" s="1310"/>
      <c r="L20" s="1310"/>
      <c r="M20" s="1310"/>
      <c r="N20" s="1310"/>
      <c r="O20" s="847"/>
      <c r="P20" s="1310"/>
      <c r="R20" s="1508"/>
    </row>
    <row r="21" spans="1:18" s="1061" customFormat="1" ht="15.75" customHeight="1" x14ac:dyDescent="0.2">
      <c r="A21" s="1173" t="str">
        <f>'[15]Statement of changes in equity'!$A$5</f>
        <v>As on 31.03.2022</v>
      </c>
      <c r="B21" s="1504">
        <f>B12-B20</f>
        <v>4703.5082978249993</v>
      </c>
      <c r="C21" s="1504">
        <f t="shared" ref="C21:N21" si="4">C12-C20</f>
        <v>1.0268333459999983</v>
      </c>
      <c r="D21" s="1504">
        <f t="shared" si="4"/>
        <v>0</v>
      </c>
      <c r="E21" s="1504">
        <f t="shared" si="4"/>
        <v>1358.7940881850006</v>
      </c>
      <c r="F21" s="1504">
        <f t="shared" si="4"/>
        <v>33.960707766999995</v>
      </c>
      <c r="G21" s="1504">
        <f t="shared" si="4"/>
        <v>0.99034164400000257</v>
      </c>
      <c r="H21" s="1504">
        <f t="shared" si="4"/>
        <v>1.9760687140000002</v>
      </c>
      <c r="I21" s="1504">
        <f t="shared" si="4"/>
        <v>37.794797907999993</v>
      </c>
      <c r="J21" s="1504">
        <f t="shared" si="4"/>
        <v>3268.5027405579985</v>
      </c>
      <c r="K21" s="1504">
        <f t="shared" si="4"/>
        <v>0</v>
      </c>
      <c r="L21" s="1504">
        <f t="shared" si="4"/>
        <v>5.2600000042514037E-7</v>
      </c>
      <c r="M21" s="1504">
        <f t="shared" si="4"/>
        <v>1.2851580000003415E-3</v>
      </c>
      <c r="N21" s="1504">
        <f t="shared" si="4"/>
        <v>0.46143401900000391</v>
      </c>
      <c r="O21" s="847"/>
      <c r="P21" s="1504">
        <f>P12-P20</f>
        <v>378.067937207</v>
      </c>
      <c r="R21" s="1508"/>
    </row>
    <row r="22" spans="1:18" s="1061" customFormat="1" ht="25.5" x14ac:dyDescent="0.2">
      <c r="A22" s="1493" t="s">
        <v>2348</v>
      </c>
      <c r="B22" s="1505">
        <f>SUM(C22:N22)</f>
        <v>65.934250626999997</v>
      </c>
      <c r="C22" s="1310"/>
      <c r="D22" s="1310"/>
      <c r="E22" s="1310"/>
      <c r="F22" s="1310"/>
      <c r="G22" s="1310"/>
      <c r="H22" s="1310"/>
      <c r="I22" s="1310"/>
      <c r="J22" s="1310">
        <v>65.934250626999997</v>
      </c>
      <c r="K22" s="1310"/>
      <c r="L22" s="1310"/>
      <c r="M22" s="1310"/>
      <c r="N22" s="1310"/>
      <c r="O22" s="847"/>
      <c r="P22" s="1310"/>
      <c r="R22" s="1508"/>
    </row>
    <row r="23" spans="1:18" s="1061" customFormat="1" ht="15.75" customHeight="1" x14ac:dyDescent="0.2">
      <c r="A23" s="1173" t="str">
        <f>'[15]Statement of changes in equity'!$A$9</f>
        <v>As at 31.03.2023</v>
      </c>
      <c r="B23" s="1310">
        <f t="shared" ref="B23:N23" si="5">B15-B22</f>
        <v>5757.291394388998</v>
      </c>
      <c r="C23" s="1310">
        <f t="shared" si="5"/>
        <v>-1.7763568394002505E-15</v>
      </c>
      <c r="D23" s="1310">
        <f t="shared" si="5"/>
        <v>0</v>
      </c>
      <c r="E23" s="1310">
        <f t="shared" si="5"/>
        <v>1570.1811340750007</v>
      </c>
      <c r="F23" s="1310">
        <f t="shared" si="5"/>
        <v>32.422510976999995</v>
      </c>
      <c r="G23" s="1310">
        <f t="shared" si="5"/>
        <v>2.6645352591003757E-15</v>
      </c>
      <c r="H23" s="1310">
        <f t="shared" si="5"/>
        <v>1.9760687140000002</v>
      </c>
      <c r="I23" s="1310">
        <f t="shared" si="5"/>
        <v>22.057503802999996</v>
      </c>
      <c r="J23" s="1310">
        <f t="shared" si="5"/>
        <v>4129.8151909559974</v>
      </c>
      <c r="K23" s="1310">
        <f t="shared" si="5"/>
        <v>0</v>
      </c>
      <c r="L23" s="1310">
        <f t="shared" si="5"/>
        <v>5.2600000042514037E-7</v>
      </c>
      <c r="M23" s="1310">
        <f t="shared" si="5"/>
        <v>9.0000000341585503E-8</v>
      </c>
      <c r="N23" s="1310">
        <f t="shared" si="5"/>
        <v>0.83898524800000385</v>
      </c>
      <c r="O23" s="847"/>
      <c r="P23" s="1310">
        <f>P15-P22</f>
        <v>574.16186102100005</v>
      </c>
      <c r="R23" s="1508"/>
    </row>
    <row r="24" spans="1:18" s="1061" customFormat="1" ht="25.5" x14ac:dyDescent="0.2">
      <c r="A24" s="1493" t="s">
        <v>2348</v>
      </c>
      <c r="B24" s="1505">
        <f>SUM(C24:N24)</f>
        <v>64.614504539999999</v>
      </c>
      <c r="C24" s="1310"/>
      <c r="D24" s="1310"/>
      <c r="E24" s="1310"/>
      <c r="F24" s="1310"/>
      <c r="G24" s="1310"/>
      <c r="H24" s="1310"/>
      <c r="I24" s="1310"/>
      <c r="J24" s="1310">
        <f>'[15]Input Sheet'!R722</f>
        <v>64.614504539999999</v>
      </c>
      <c r="K24" s="1310"/>
      <c r="L24" s="1310"/>
      <c r="M24" s="1310"/>
      <c r="N24" s="1310"/>
      <c r="O24" s="847"/>
      <c r="P24" s="1310"/>
      <c r="R24" s="1508"/>
    </row>
    <row r="25" spans="1:18" s="1061" customFormat="1" ht="15.75" customHeight="1" x14ac:dyDescent="0.2">
      <c r="A25" s="1173" t="str">
        <f>'[15]Statement of changes in equity'!$A$11</f>
        <v>As at 31.03.2024</v>
      </c>
      <c r="B25" s="1310">
        <f t="shared" ref="B25:N25" si="6">B18-B24</f>
        <v>7195.0995504909988</v>
      </c>
      <c r="C25" s="1310">
        <f t="shared" si="6"/>
        <v>-1.7763568394002505E-15</v>
      </c>
      <c r="D25" s="1310">
        <f t="shared" si="6"/>
        <v>0</v>
      </c>
      <c r="E25" s="1310">
        <f t="shared" si="6"/>
        <v>1833.9005847000008</v>
      </c>
      <c r="F25" s="1310">
        <f t="shared" si="6"/>
        <v>38.533076436999991</v>
      </c>
      <c r="G25" s="1310">
        <f t="shared" si="6"/>
        <v>2.6645352591003757E-15</v>
      </c>
      <c r="H25" s="1310">
        <f t="shared" si="6"/>
        <v>1.9760687140000002</v>
      </c>
      <c r="I25" s="1310">
        <f t="shared" si="6"/>
        <v>29.214126995999997</v>
      </c>
      <c r="J25" s="1310">
        <f t="shared" si="6"/>
        <v>5287.6368590949978</v>
      </c>
      <c r="K25" s="1310">
        <f t="shared" si="6"/>
        <v>0</v>
      </c>
      <c r="L25" s="1310">
        <f t="shared" si="6"/>
        <v>2.9000000425140403E-8</v>
      </c>
      <c r="M25" s="1310">
        <f t="shared" si="6"/>
        <v>2.0000003415855092E-9</v>
      </c>
      <c r="N25" s="1310">
        <f t="shared" si="6"/>
        <v>3.8388345180000036</v>
      </c>
      <c r="O25" s="847"/>
      <c r="P25" s="1310">
        <f>P18-P24</f>
        <v>642.07934182600002</v>
      </c>
      <c r="R25" s="1508"/>
    </row>
    <row r="26" spans="1:18" x14ac:dyDescent="0.2">
      <c r="A26" s="1457"/>
      <c r="B26" s="1509" t="e">
        <f>B18-B27</f>
        <v>#REF!</v>
      </c>
      <c r="C26" s="1509" t="e">
        <f>C18-#REF!</f>
        <v>#REF!</v>
      </c>
      <c r="D26" s="1509"/>
      <c r="E26" s="1509">
        <f>E18-F38</f>
        <v>1833.9005847000008</v>
      </c>
      <c r="F26" s="1485"/>
      <c r="G26" s="1485"/>
      <c r="H26" s="1485"/>
      <c r="I26" s="1485"/>
      <c r="J26" s="1485"/>
      <c r="K26" s="1485"/>
      <c r="L26" s="1485"/>
      <c r="M26" s="1485"/>
      <c r="N26" s="1485"/>
      <c r="O26" s="1485"/>
      <c r="P26" s="1510"/>
    </row>
    <row r="27" spans="1:18" x14ac:dyDescent="0.2">
      <c r="A27" s="1511"/>
      <c r="B27" s="1512" t="e">
        <f>'[15]balance sheet P&amp;L'!#REF!</f>
        <v>#REF!</v>
      </c>
      <c r="C27" s="1513" t="s">
        <v>2349</v>
      </c>
      <c r="D27" s="1513"/>
      <c r="E27" s="1514"/>
      <c r="F27" s="1514"/>
      <c r="G27" s="1514"/>
      <c r="H27" s="1514"/>
      <c r="I27" s="1514"/>
      <c r="J27" s="1514"/>
      <c r="K27" s="1514"/>
      <c r="L27" s="1514"/>
      <c r="M27" s="1514"/>
      <c r="N27" s="1514"/>
      <c r="O27" s="1514"/>
      <c r="P27" s="1515"/>
    </row>
    <row r="29" spans="1:18" x14ac:dyDescent="0.2">
      <c r="B29" s="1516"/>
      <c r="P29" s="1433"/>
    </row>
    <row r="30" spans="1:18" x14ac:dyDescent="0.2">
      <c r="B30" s="1517">
        <f>+B25-'[15]balance sheet P&amp;L'!D7</f>
        <v>2.5899862521328032E-7</v>
      </c>
      <c r="G30" s="1265">
        <f>B15+H30</f>
        <v>5786.6782831889986</v>
      </c>
      <c r="H30">
        <v>-36.547361827000003</v>
      </c>
      <c r="P30" s="1518">
        <f>+P25-'[15]balance sheet P&amp;L'!D10</f>
        <v>0</v>
      </c>
    </row>
    <row r="31" spans="1:18" x14ac:dyDescent="0.2">
      <c r="B31" s="1516"/>
      <c r="P31" s="1433"/>
    </row>
    <row r="32" spans="1:18" x14ac:dyDescent="0.2">
      <c r="B32" s="1516"/>
      <c r="C32" t="s">
        <v>2350</v>
      </c>
      <c r="D32" t="s">
        <v>2351</v>
      </c>
      <c r="E32" t="s">
        <v>2352</v>
      </c>
      <c r="P32" s="1433"/>
    </row>
    <row r="33" spans="1:16" x14ac:dyDescent="0.2">
      <c r="B33" s="1516"/>
      <c r="F33" s="1043"/>
      <c r="P33" s="1433"/>
    </row>
    <row r="34" spans="1:16" x14ac:dyDescent="0.2">
      <c r="A34" s="1026">
        <v>14001</v>
      </c>
      <c r="B34" s="808" t="s">
        <v>878</v>
      </c>
      <c r="C34" s="1043">
        <v>62068804.030000001</v>
      </c>
      <c r="D34" s="1043">
        <v>0</v>
      </c>
      <c r="E34">
        <v>0</v>
      </c>
      <c r="G34" s="1519"/>
      <c r="H34" s="1520"/>
      <c r="I34" s="1043"/>
    </row>
    <row r="35" spans="1:16" x14ac:dyDescent="0.2">
      <c r="A35" s="1026">
        <v>14101</v>
      </c>
      <c r="B35" s="808" t="s">
        <v>879</v>
      </c>
      <c r="C35" s="1043">
        <v>0</v>
      </c>
      <c r="D35" s="1043">
        <v>0</v>
      </c>
      <c r="E35">
        <v>0</v>
      </c>
      <c r="G35" s="924"/>
      <c r="H35" s="924"/>
      <c r="J35" s="1043"/>
      <c r="K35" s="1043"/>
      <c r="L35" s="1043"/>
    </row>
    <row r="36" spans="1:16" x14ac:dyDescent="0.2">
      <c r="A36" s="1026">
        <v>14102</v>
      </c>
      <c r="B36" s="808" t="s">
        <v>880</v>
      </c>
      <c r="C36" s="1043"/>
      <c r="D36" s="1043"/>
      <c r="G36" s="1519"/>
      <c r="H36" s="924"/>
      <c r="I36" s="1043"/>
      <c r="J36" s="1043"/>
      <c r="K36" s="1043"/>
      <c r="L36" s="1043"/>
    </row>
    <row r="37" spans="1:16" x14ac:dyDescent="0.2">
      <c r="A37" s="1026">
        <v>14201</v>
      </c>
      <c r="B37" s="808" t="s">
        <v>881</v>
      </c>
      <c r="C37" s="1043">
        <v>3172933658.4499998</v>
      </c>
      <c r="D37" s="1043">
        <v>-535739152.19999999</v>
      </c>
      <c r="E37">
        <v>0</v>
      </c>
      <c r="G37" s="1519"/>
      <c r="H37" s="924"/>
      <c r="I37" s="1043"/>
      <c r="J37" s="1043"/>
      <c r="K37" s="1043"/>
      <c r="L37" s="1043"/>
    </row>
    <row r="38" spans="1:16" x14ac:dyDescent="0.2">
      <c r="A38" s="1026">
        <v>14202</v>
      </c>
      <c r="B38" s="808" t="s">
        <v>882</v>
      </c>
      <c r="C38" s="1043">
        <v>63613598.079999998</v>
      </c>
      <c r="D38" s="1043">
        <v>-2507943.48</v>
      </c>
      <c r="E38">
        <v>0</v>
      </c>
      <c r="G38" s="924"/>
      <c r="H38" s="924"/>
      <c r="I38" s="1043"/>
      <c r="J38" s="1043"/>
      <c r="L38" s="1043"/>
    </row>
    <row r="39" spans="1:16" x14ac:dyDescent="0.2">
      <c r="A39" s="1026">
        <v>14301</v>
      </c>
      <c r="B39" s="808" t="s">
        <v>883</v>
      </c>
      <c r="C39" s="1043">
        <v>0</v>
      </c>
      <c r="D39" s="1043">
        <v>0</v>
      </c>
      <c r="E39">
        <v>0</v>
      </c>
      <c r="G39" s="1519"/>
      <c r="H39" s="924"/>
      <c r="J39" s="1043"/>
      <c r="K39" s="1043"/>
    </row>
    <row r="40" spans="1:16" x14ac:dyDescent="0.2">
      <c r="A40" s="1026">
        <v>14401</v>
      </c>
      <c r="B40" s="808" t="s">
        <v>884</v>
      </c>
      <c r="C40" s="1043">
        <v>76472176.859999999</v>
      </c>
      <c r="D40" s="1043">
        <v>-20804996.140000001</v>
      </c>
      <c r="E40">
        <v>0</v>
      </c>
      <c r="G40" s="1519"/>
      <c r="H40" s="924"/>
      <c r="I40" s="1043"/>
      <c r="J40" s="1043"/>
      <c r="K40" s="1043"/>
      <c r="L40" s="1043"/>
    </row>
    <row r="41" spans="1:16" x14ac:dyDescent="0.2">
      <c r="A41" s="1026">
        <v>14402</v>
      </c>
      <c r="B41" s="808" t="s">
        <v>885</v>
      </c>
      <c r="C41" s="1043">
        <v>114907800.69</v>
      </c>
      <c r="D41" s="1043">
        <v>-99008749.480000004</v>
      </c>
      <c r="E41">
        <v>0</v>
      </c>
      <c r="G41" s="1519"/>
      <c r="H41" s="1519"/>
      <c r="I41" s="1043"/>
      <c r="J41" s="1043"/>
      <c r="L41" s="1043"/>
    </row>
    <row r="42" spans="1:16" ht="13.5" customHeight="1" x14ac:dyDescent="0.2">
      <c r="A42" s="1026">
        <v>14501</v>
      </c>
      <c r="B42" s="808" t="s">
        <v>886</v>
      </c>
      <c r="C42" s="1043">
        <v>12853061495.629999</v>
      </c>
      <c r="D42" s="1043">
        <v>-1710729724.4100001</v>
      </c>
      <c r="E42" s="1043">
        <v>-4854973</v>
      </c>
      <c r="F42" s="1043"/>
      <c r="G42" s="924"/>
      <c r="H42" s="924"/>
      <c r="J42" s="1043"/>
    </row>
    <row r="43" spans="1:16" x14ac:dyDescent="0.2">
      <c r="A43">
        <v>14502</v>
      </c>
      <c r="B43" s="1063" t="s">
        <v>887</v>
      </c>
      <c r="C43" s="1043"/>
      <c r="D43" s="1043"/>
      <c r="E43" s="1043"/>
      <c r="G43" s="924"/>
      <c r="H43" s="924"/>
      <c r="I43" s="1043"/>
      <c r="J43" s="1043"/>
      <c r="K43" s="1043"/>
    </row>
    <row r="44" spans="1:16" x14ac:dyDescent="0.2">
      <c r="A44">
        <v>14601</v>
      </c>
      <c r="B44" s="808" t="s">
        <v>888</v>
      </c>
      <c r="C44" s="1043">
        <v>0</v>
      </c>
      <c r="D44" s="1043">
        <v>0</v>
      </c>
      <c r="E44">
        <v>0</v>
      </c>
      <c r="G44" s="924"/>
      <c r="H44" s="924"/>
      <c r="I44" s="1043"/>
      <c r="J44" s="1043"/>
      <c r="K44" s="1043"/>
      <c r="L44" s="1043"/>
    </row>
    <row r="45" spans="1:16" x14ac:dyDescent="0.2">
      <c r="A45" s="1026">
        <v>14701</v>
      </c>
      <c r="B45" s="808" t="s">
        <v>889</v>
      </c>
      <c r="C45" s="1043">
        <v>-4.97</v>
      </c>
      <c r="D45" s="1043">
        <v>0</v>
      </c>
      <c r="E45">
        <v>0</v>
      </c>
      <c r="G45" s="1519"/>
      <c r="H45" s="924"/>
      <c r="I45" s="1043"/>
      <c r="J45" s="1043"/>
      <c r="K45" s="1043"/>
      <c r="L45" s="1043"/>
    </row>
    <row r="46" spans="1:16" x14ac:dyDescent="0.2">
      <c r="A46" s="1026">
        <v>14801</v>
      </c>
      <c r="B46" s="808" t="s">
        <v>890</v>
      </c>
      <c r="C46" s="1043">
        <v>-0.88</v>
      </c>
      <c r="D46" s="1043">
        <v>0</v>
      </c>
      <c r="E46">
        <v>0</v>
      </c>
      <c r="G46" s="1519"/>
      <c r="H46" s="924"/>
      <c r="I46" s="1043"/>
      <c r="J46" s="1043"/>
      <c r="L46" s="1043"/>
    </row>
    <row r="47" spans="1:16" x14ac:dyDescent="0.2">
      <c r="A47" s="1026">
        <v>14901</v>
      </c>
      <c r="B47" s="808" t="s">
        <v>891</v>
      </c>
      <c r="C47" s="1043">
        <v>30979366.02</v>
      </c>
      <c r="D47" s="1043">
        <v>-980873.32</v>
      </c>
      <c r="E47">
        <v>0</v>
      </c>
      <c r="G47" s="924"/>
      <c r="H47" s="924"/>
      <c r="J47" s="1043"/>
    </row>
    <row r="48" spans="1:16" x14ac:dyDescent="0.2">
      <c r="A48">
        <v>14961</v>
      </c>
      <c r="B48" s="808" t="s">
        <v>893</v>
      </c>
      <c r="C48" s="1043">
        <v>679174808.04999995</v>
      </c>
      <c r="D48" s="1043">
        <v>0</v>
      </c>
      <c r="E48">
        <v>0</v>
      </c>
      <c r="G48" s="924"/>
      <c r="H48" s="924"/>
      <c r="J48" s="1043"/>
    </row>
    <row r="49" spans="2:10" x14ac:dyDescent="0.2">
      <c r="B49" s="808"/>
      <c r="F49" s="1043"/>
      <c r="G49" s="924"/>
      <c r="H49" s="924"/>
      <c r="J49" s="1043"/>
    </row>
    <row r="50" spans="2:10" x14ac:dyDescent="0.2">
      <c r="C50" s="1043">
        <f>SUM(C34:C48)</f>
        <v>17053211701.960001</v>
      </c>
      <c r="D50" s="1043">
        <f>SUM(D34:D48)</f>
        <v>-2369771439.0300002</v>
      </c>
      <c r="F50" s="1043"/>
      <c r="G50" s="924"/>
    </row>
    <row r="51" spans="2:10" x14ac:dyDescent="0.2">
      <c r="G51" s="924"/>
    </row>
    <row r="52" spans="2:10" x14ac:dyDescent="0.2">
      <c r="F52" s="1043"/>
    </row>
    <row r="53" spans="2:10" x14ac:dyDescent="0.2">
      <c r="D53" s="1043">
        <f>+C50+D50</f>
        <v>14683440262.93</v>
      </c>
      <c r="F53" s="924"/>
    </row>
    <row r="54" spans="2:10" x14ac:dyDescent="0.2">
      <c r="E54" s="1043"/>
    </row>
    <row r="56" spans="2:10" x14ac:dyDescent="0.2">
      <c r="E56" s="1043"/>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activeCell="J30" sqref="J30"/>
    </sheetView>
  </sheetViews>
  <sheetFormatPr defaultColWidth="9.140625" defaultRowHeight="15" x14ac:dyDescent="0.25"/>
  <cols>
    <col min="1" max="1" width="26" style="1616" customWidth="1"/>
    <col min="2" max="2" width="18.7109375" style="1616" customWidth="1"/>
    <col min="3" max="3" width="22.28515625" style="1656" bestFit="1" customWidth="1"/>
    <col min="4" max="4" width="22" style="1656" customWidth="1"/>
    <col min="5" max="5" width="22.140625" style="1656" customWidth="1"/>
    <col min="6" max="6" width="22" style="1656" customWidth="1"/>
    <col min="7" max="7" width="18" style="1616" customWidth="1"/>
    <col min="8" max="8" width="22.42578125" style="1616" customWidth="1"/>
    <col min="9" max="9" width="18.85546875" style="1616" customWidth="1"/>
    <col min="10" max="10" width="13.28515625" style="1616" bestFit="1" customWidth="1"/>
    <col min="11" max="11" width="23.140625" style="1616" customWidth="1"/>
    <col min="20" max="20" width="9.140625" style="1616"/>
    <col min="21" max="21" width="11.140625" style="1616" bestFit="1" customWidth="1"/>
    <col min="22" max="16384" width="9.140625" style="1616"/>
  </cols>
  <sheetData>
    <row r="1" spans="1:21" ht="15.75" x14ac:dyDescent="0.25">
      <c r="A1" s="1611" t="s">
        <v>2286</v>
      </c>
      <c r="B1" s="1612"/>
      <c r="C1" s="1613"/>
      <c r="D1" s="1613"/>
      <c r="E1" s="1613"/>
      <c r="F1" s="1613"/>
      <c r="G1" s="1612"/>
      <c r="H1" s="1614"/>
      <c r="I1" s="1615"/>
      <c r="J1" s="1615"/>
      <c r="K1" s="1615"/>
      <c r="T1" s="1615"/>
      <c r="U1" s="1615"/>
    </row>
    <row r="2" spans="1:21" ht="15.75" x14ac:dyDescent="0.25">
      <c r="A2" s="1617" t="s">
        <v>2415</v>
      </c>
      <c r="B2" s="1618"/>
      <c r="C2" s="1619"/>
      <c r="D2" s="1619"/>
      <c r="E2" s="1619"/>
      <c r="F2" s="1619"/>
      <c r="G2" s="1618"/>
      <c r="H2" s="1620"/>
      <c r="I2" s="1615"/>
      <c r="J2" s="1615"/>
      <c r="K2" s="1615"/>
      <c r="T2" s="1615"/>
      <c r="U2" s="1615"/>
    </row>
    <row r="3" spans="1:21" ht="15.75" x14ac:dyDescent="0.25">
      <c r="A3" s="1617" t="s">
        <v>2416</v>
      </c>
      <c r="B3" s="1621"/>
      <c r="C3" s="1622"/>
      <c r="D3" s="1622"/>
      <c r="E3" s="1622"/>
      <c r="F3" s="1623"/>
      <c r="G3" s="1618"/>
      <c r="H3" s="1620"/>
      <c r="I3" s="1615"/>
      <c r="J3" s="1615"/>
      <c r="K3" s="1615"/>
      <c r="T3" s="1615"/>
      <c r="U3" s="1615"/>
    </row>
    <row r="4" spans="1:21" ht="15.75" x14ac:dyDescent="0.25">
      <c r="A4" s="1624" t="s">
        <v>2417</v>
      </c>
      <c r="B4" s="1625"/>
      <c r="C4" s="1626"/>
      <c r="D4" s="1626"/>
      <c r="E4" s="1626"/>
      <c r="F4" s="1627"/>
      <c r="G4" s="1628"/>
      <c r="H4" s="1629"/>
      <c r="I4" s="1615"/>
      <c r="J4" s="1615"/>
      <c r="K4" s="1615"/>
      <c r="T4" s="1615"/>
      <c r="U4" s="1615"/>
    </row>
    <row r="5" spans="1:21" ht="15.75" x14ac:dyDescent="0.25">
      <c r="A5" s="2031" t="s">
        <v>2418</v>
      </c>
      <c r="B5" s="2031" t="s">
        <v>2419</v>
      </c>
      <c r="C5" s="2032" t="str">
        <f>'[15]Statement of changes in equity'!$A$11</f>
        <v>As at 31.03.2024</v>
      </c>
      <c r="D5" s="2032"/>
      <c r="E5" s="2032" t="str">
        <f>'[15]Statement of changes in equity'!$A$9</f>
        <v>As at 31.03.2023</v>
      </c>
      <c r="F5" s="2034"/>
      <c r="G5" s="2035" t="str">
        <f>'[15]Statement of changes in equity'!A5</f>
        <v>As on 31.03.2022</v>
      </c>
      <c r="H5" s="2032"/>
      <c r="I5" s="1615"/>
      <c r="J5" s="1615"/>
      <c r="K5" s="1615"/>
      <c r="T5" s="1615"/>
      <c r="U5" s="1615"/>
    </row>
    <row r="6" spans="1:21" ht="15.75" x14ac:dyDescent="0.25">
      <c r="A6" s="2031"/>
      <c r="B6" s="2031"/>
      <c r="C6" s="1630" t="s">
        <v>2420</v>
      </c>
      <c r="D6" s="1631" t="s">
        <v>2421</v>
      </c>
      <c r="E6" s="1630" t="s">
        <v>2420</v>
      </c>
      <c r="F6" s="1631" t="s">
        <v>2421</v>
      </c>
      <c r="G6" s="1632" t="s">
        <v>2420</v>
      </c>
      <c r="H6" s="1631" t="s">
        <v>2421</v>
      </c>
      <c r="I6" s="1615"/>
      <c r="J6" s="1615"/>
      <c r="K6" s="1615"/>
      <c r="T6" s="1615"/>
      <c r="U6" s="1615"/>
    </row>
    <row r="7" spans="1:21" ht="15.75" x14ac:dyDescent="0.25">
      <c r="A7" s="1633" t="s">
        <v>2422</v>
      </c>
      <c r="B7" s="1633">
        <v>10</v>
      </c>
      <c r="C7" s="1634">
        <v>40000000000</v>
      </c>
      <c r="D7" s="1635">
        <v>40000</v>
      </c>
      <c r="E7" s="1634">
        <v>40000000000</v>
      </c>
      <c r="F7" s="1635">
        <v>40000</v>
      </c>
      <c r="G7" s="1636">
        <v>40000000000</v>
      </c>
      <c r="H7" s="1635">
        <v>40000</v>
      </c>
      <c r="I7" s="1615"/>
      <c r="J7" s="1615"/>
      <c r="K7" s="1615"/>
      <c r="T7" s="1615"/>
      <c r="U7" s="1615">
        <f>10^7</f>
        <v>10000000</v>
      </c>
    </row>
    <row r="8" spans="1:21" ht="15.75" hidden="1" x14ac:dyDescent="0.25">
      <c r="A8" s="1637"/>
      <c r="B8" s="1625"/>
      <c r="C8" s="1626"/>
      <c r="D8" s="1626"/>
      <c r="E8" s="1626"/>
      <c r="F8" s="1638"/>
      <c r="G8" s="1618"/>
      <c r="H8" s="1629"/>
      <c r="I8" s="1615"/>
      <c r="J8" s="1615"/>
      <c r="K8" s="1615"/>
      <c r="T8" s="1615"/>
      <c r="U8" s="1615"/>
    </row>
    <row r="9" spans="1:21" ht="15.75" hidden="1" x14ac:dyDescent="0.25">
      <c r="A9" s="1637"/>
      <c r="B9" s="1625"/>
      <c r="C9" s="1626"/>
      <c r="D9" s="1626"/>
      <c r="E9" s="1626"/>
      <c r="F9" s="1638"/>
      <c r="G9" s="1639"/>
      <c r="H9" s="1629"/>
      <c r="I9" s="1615"/>
      <c r="J9" s="1615"/>
      <c r="K9" s="1615"/>
      <c r="T9" s="1615"/>
      <c r="U9" s="1615"/>
    </row>
    <row r="10" spans="1:21" ht="15.75" x14ac:dyDescent="0.25">
      <c r="A10" s="1624" t="s">
        <v>2423</v>
      </c>
      <c r="B10" s="1625"/>
      <c r="C10" s="1626"/>
      <c r="D10" s="1626"/>
      <c r="E10" s="1626"/>
      <c r="F10" s="1638"/>
      <c r="G10" s="1628"/>
      <c r="H10" s="1629"/>
      <c r="I10" s="1615"/>
      <c r="J10" s="1615"/>
      <c r="K10" s="1615"/>
      <c r="T10" s="1615"/>
      <c r="U10" s="1615"/>
    </row>
    <row r="11" spans="1:21" ht="15.75" x14ac:dyDescent="0.25">
      <c r="A11" s="2031" t="s">
        <v>2418</v>
      </c>
      <c r="B11" s="2031" t="s">
        <v>2419</v>
      </c>
      <c r="C11" s="2032" t="str">
        <f>'[15]Statement of changes in equity'!$A$11</f>
        <v>As at 31.03.2024</v>
      </c>
      <c r="D11" s="2032"/>
      <c r="E11" s="2032" t="str">
        <f>'[15]Statement of changes in equity'!$A$9</f>
        <v>As at 31.03.2023</v>
      </c>
      <c r="F11" s="2032"/>
      <c r="G11" s="2033" t="str">
        <f>+G5</f>
        <v>As on 31.03.2022</v>
      </c>
      <c r="H11" s="2032"/>
      <c r="I11" s="1615"/>
      <c r="J11" s="1615"/>
      <c r="K11" s="1615"/>
      <c r="T11" s="1615"/>
      <c r="U11" s="1615"/>
    </row>
    <row r="12" spans="1:21" ht="15.75" x14ac:dyDescent="0.25">
      <c r="A12" s="2031"/>
      <c r="B12" s="2031"/>
      <c r="C12" s="1630" t="s">
        <v>2420</v>
      </c>
      <c r="D12" s="1631" t="s">
        <v>2421</v>
      </c>
      <c r="E12" s="1630" t="s">
        <v>2420</v>
      </c>
      <c r="F12" s="1631" t="s">
        <v>2421</v>
      </c>
      <c r="G12" s="1632" t="s">
        <v>2420</v>
      </c>
      <c r="H12" s="1631" t="s">
        <v>2421</v>
      </c>
      <c r="I12" s="1615"/>
      <c r="J12" s="1615"/>
      <c r="K12" s="1615"/>
      <c r="T12" s="1615"/>
      <c r="U12" s="1615"/>
    </row>
    <row r="13" spans="1:21" ht="15.75" x14ac:dyDescent="0.25">
      <c r="A13" s="1633" t="s">
        <v>2422</v>
      </c>
      <c r="B13" s="1633">
        <v>10</v>
      </c>
      <c r="C13" s="1634">
        <f>+C22</f>
        <v>26115397229.399998</v>
      </c>
      <c r="D13" s="1635">
        <f>(+D22)</f>
        <v>26115.397229399994</v>
      </c>
      <c r="E13" s="1634">
        <f>+E22</f>
        <v>25918496225.999996</v>
      </c>
      <c r="F13" s="1635">
        <f>+F22</f>
        <v>25918.496225999996</v>
      </c>
      <c r="G13" s="1636">
        <f>+E20</f>
        <v>25450446225.999996</v>
      </c>
      <c r="H13" s="1635">
        <f>+F20</f>
        <v>25450.446225999996</v>
      </c>
      <c r="I13" s="1615"/>
      <c r="J13" s="1615"/>
      <c r="K13" s="1615"/>
      <c r="T13" s="1615"/>
      <c r="U13" s="1615"/>
    </row>
    <row r="14" spans="1:21" ht="15.75" hidden="1" x14ac:dyDescent="0.25">
      <c r="A14" s="1640" t="s">
        <v>2424</v>
      </c>
      <c r="B14" s="1633"/>
      <c r="C14" s="1635"/>
      <c r="D14" s="1635">
        <v>5777933537</v>
      </c>
      <c r="E14" s="1635"/>
      <c r="F14" s="1635">
        <v>22331367000</v>
      </c>
      <c r="G14" s="1639"/>
      <c r="H14" s="1629"/>
      <c r="I14" s="1615"/>
      <c r="J14" s="1615"/>
      <c r="K14" s="1615"/>
      <c r="T14" s="1615"/>
      <c r="U14" s="1615"/>
    </row>
    <row r="15" spans="1:21" ht="15.75" x14ac:dyDescent="0.25">
      <c r="A15" s="1637"/>
      <c r="B15" s="1625"/>
      <c r="C15" s="1626"/>
      <c r="D15" s="1626"/>
      <c r="E15" s="1626"/>
      <c r="F15" s="1638"/>
      <c r="G15" s="1618"/>
      <c r="H15" s="1629"/>
      <c r="I15" s="1615"/>
      <c r="J15" s="1615"/>
      <c r="K15" s="1615"/>
      <c r="T15" s="1615"/>
      <c r="U15" s="1615"/>
    </row>
    <row r="16" spans="1:21" ht="15.75" x14ac:dyDescent="0.25">
      <c r="A16" s="1624" t="s">
        <v>2425</v>
      </c>
      <c r="B16" s="1625"/>
      <c r="C16" s="1626"/>
      <c r="D16" s="1626"/>
      <c r="E16" s="1626"/>
      <c r="F16" s="1638"/>
      <c r="G16" s="1628"/>
      <c r="H16" s="1629"/>
      <c r="I16" s="1615"/>
      <c r="J16" s="1615"/>
      <c r="K16" s="1615"/>
      <c r="T16" s="1615"/>
      <c r="U16" s="1615"/>
    </row>
    <row r="17" spans="1:11" ht="15.75" x14ac:dyDescent="0.25">
      <c r="A17" s="2031" t="s">
        <v>2418</v>
      </c>
      <c r="B17" s="2031"/>
      <c r="C17" s="2032" t="str">
        <f>'[15]Statement of changes in equity'!$A$11</f>
        <v>As at 31.03.2024</v>
      </c>
      <c r="D17" s="2032"/>
      <c r="E17" s="2032" t="str">
        <f>'[15]Statement of changes in equity'!$A$9</f>
        <v>As at 31.03.2023</v>
      </c>
      <c r="F17" s="2032"/>
      <c r="G17" s="2033" t="str">
        <f>+G5</f>
        <v>As on 31.03.2022</v>
      </c>
      <c r="H17" s="2032"/>
      <c r="I17" s="1615"/>
      <c r="J17" s="1615"/>
      <c r="K17" s="1615"/>
    </row>
    <row r="18" spans="1:11" ht="15.75" x14ac:dyDescent="0.25">
      <c r="A18" s="2031"/>
      <c r="B18" s="2031"/>
      <c r="C18" s="2036" t="s">
        <v>2422</v>
      </c>
      <c r="D18" s="2035"/>
      <c r="E18" s="2036" t="s">
        <v>2422</v>
      </c>
      <c r="F18" s="2035"/>
      <c r="G18" s="2037" t="s">
        <v>2422</v>
      </c>
      <c r="H18" s="2035"/>
      <c r="I18" s="1615"/>
      <c r="J18" s="1615"/>
      <c r="K18" s="1615"/>
    </row>
    <row r="19" spans="1:11" ht="15.75" x14ac:dyDescent="0.25">
      <c r="A19" s="2031"/>
      <c r="B19" s="2031"/>
      <c r="C19" s="1641" t="s">
        <v>2420</v>
      </c>
      <c r="D19" s="1631" t="s">
        <v>2421</v>
      </c>
      <c r="E19" s="1641" t="s">
        <v>2420</v>
      </c>
      <c r="F19" s="1631" t="s">
        <v>2421</v>
      </c>
      <c r="G19" s="1632" t="s">
        <v>2420</v>
      </c>
      <c r="H19" s="1631" t="s">
        <v>2421</v>
      </c>
      <c r="I19" s="1615"/>
      <c r="J19" s="1615"/>
      <c r="K19" s="1615"/>
    </row>
    <row r="20" spans="1:11" ht="15.75" x14ac:dyDescent="0.25">
      <c r="A20" s="2040" t="s">
        <v>2426</v>
      </c>
      <c r="B20" s="2040"/>
      <c r="C20" s="1642">
        <f>+E22</f>
        <v>25918496225.999996</v>
      </c>
      <c r="D20" s="1643">
        <f>+F22</f>
        <v>25918.496225999996</v>
      </c>
      <c r="E20" s="1642">
        <f>+G22</f>
        <v>25450446225.999996</v>
      </c>
      <c r="F20" s="1643">
        <f>+H22</f>
        <v>25450.446225999996</v>
      </c>
      <c r="G20" s="1642">
        <f>+H20*10^7/10</f>
        <v>25407946225.999996</v>
      </c>
      <c r="H20" s="1428">
        <v>25407.946225999996</v>
      </c>
      <c r="I20" s="1615"/>
      <c r="J20" s="1615"/>
      <c r="K20" s="1615"/>
    </row>
    <row r="21" spans="1:11" ht="15.75" x14ac:dyDescent="0.25">
      <c r="A21" s="2040" t="s">
        <v>2427</v>
      </c>
      <c r="B21" s="2040"/>
      <c r="C21" s="1642">
        <f>+D21*10^7/10</f>
        <v>196901003.40000001</v>
      </c>
      <c r="D21" s="1644">
        <f>91.1410034+105.76</f>
        <v>196.90100340000001</v>
      </c>
      <c r="E21" s="1642">
        <f>+F21*10^7/10</f>
        <v>468050000</v>
      </c>
      <c r="F21" s="1644">
        <v>468.05</v>
      </c>
      <c r="G21" s="1642">
        <f>+H21*10^7/10</f>
        <v>42500000</v>
      </c>
      <c r="H21" s="1428">
        <v>42.5</v>
      </c>
      <c r="I21" s="1615"/>
      <c r="J21" s="1615"/>
      <c r="K21" s="1615"/>
    </row>
    <row r="22" spans="1:11" ht="15.75" x14ac:dyDescent="0.25">
      <c r="A22" s="2040" t="s">
        <v>2428</v>
      </c>
      <c r="B22" s="2040"/>
      <c r="C22" s="1642">
        <f t="shared" ref="C22:G22" si="0">C20+C21</f>
        <v>26115397229.399998</v>
      </c>
      <c r="D22" s="1644">
        <f t="shared" si="0"/>
        <v>26115.397229399994</v>
      </c>
      <c r="E22" s="1642">
        <f t="shared" si="0"/>
        <v>25918496225.999996</v>
      </c>
      <c r="F22" s="1644">
        <f t="shared" si="0"/>
        <v>25918.496225999996</v>
      </c>
      <c r="G22" s="1642">
        <f t="shared" si="0"/>
        <v>25450446225.999996</v>
      </c>
      <c r="H22" s="1644">
        <v>25450.446225999996</v>
      </c>
      <c r="I22" s="1645"/>
      <c r="J22" s="1615"/>
      <c r="K22" s="1615"/>
    </row>
    <row r="23" spans="1:11" ht="15.75" x14ac:dyDescent="0.25">
      <c r="A23" s="2041" t="s">
        <v>2429</v>
      </c>
      <c r="B23" s="2042"/>
      <c r="C23" s="2042"/>
      <c r="D23" s="2042"/>
      <c r="E23" s="2042"/>
      <c r="F23" s="2042"/>
      <c r="G23" s="1618"/>
      <c r="H23" s="1620"/>
      <c r="I23" s="1646"/>
      <c r="J23" s="1615"/>
      <c r="K23" s="1615"/>
    </row>
    <row r="24" spans="1:11" ht="15.75" x14ac:dyDescent="0.25">
      <c r="A24" s="1637" t="s">
        <v>2430</v>
      </c>
      <c r="B24" s="1625"/>
      <c r="C24" s="1625"/>
      <c r="D24" s="1625"/>
      <c r="E24" s="1625"/>
      <c r="F24" s="1625"/>
      <c r="G24" s="1639"/>
      <c r="H24" s="1629"/>
      <c r="I24" s="1647"/>
      <c r="J24" s="1615"/>
      <c r="K24" s="1615"/>
    </row>
    <row r="25" spans="1:11" ht="15.75" x14ac:dyDescent="0.25">
      <c r="A25" s="2043" t="s">
        <v>2431</v>
      </c>
      <c r="B25" s="2044"/>
      <c r="C25" s="2044"/>
      <c r="D25" s="2044"/>
      <c r="E25" s="2044"/>
      <c r="F25" s="2044"/>
      <c r="G25" s="1648"/>
      <c r="H25" s="1649"/>
      <c r="I25" s="1615"/>
      <c r="J25" s="1615"/>
      <c r="K25" s="1615"/>
    </row>
    <row r="26" spans="1:11" ht="15.75" x14ac:dyDescent="0.25">
      <c r="A26" s="2043" t="s">
        <v>2432</v>
      </c>
      <c r="B26" s="2044"/>
      <c r="C26" s="2044"/>
      <c r="D26" s="2044"/>
      <c r="E26" s="2044"/>
      <c r="F26" s="2044"/>
      <c r="G26" s="1639"/>
      <c r="H26" s="1629"/>
      <c r="I26" s="1615"/>
      <c r="J26" s="1615"/>
      <c r="K26" s="1615"/>
    </row>
    <row r="27" spans="1:11" ht="15.75" x14ac:dyDescent="0.25">
      <c r="A27" s="2043" t="s">
        <v>2433</v>
      </c>
      <c r="B27" s="2044"/>
      <c r="C27" s="2044"/>
      <c r="D27" s="2044"/>
      <c r="E27" s="2044"/>
      <c r="F27" s="2044"/>
      <c r="G27" s="1648"/>
      <c r="H27" s="1649"/>
      <c r="I27" s="1615"/>
      <c r="J27" s="1615"/>
      <c r="K27" s="1615"/>
    </row>
    <row r="28" spans="1:11" ht="15.75" x14ac:dyDescent="0.25">
      <c r="A28" s="2043"/>
      <c r="B28" s="2044"/>
      <c r="C28" s="2044"/>
      <c r="D28" s="2044"/>
      <c r="E28" s="2044"/>
      <c r="F28" s="2044"/>
      <c r="G28" s="1639"/>
      <c r="H28" s="1629"/>
      <c r="I28" s="1615"/>
      <c r="J28" s="1615"/>
      <c r="K28" s="1615"/>
    </row>
    <row r="29" spans="1:11" x14ac:dyDescent="0.25">
      <c r="A29" s="1650"/>
      <c r="B29" s="1639"/>
      <c r="C29" s="1639"/>
      <c r="D29" s="1639"/>
      <c r="E29" s="1639"/>
      <c r="F29" s="1639"/>
      <c r="G29" s="1639"/>
      <c r="H29" s="1629"/>
      <c r="I29" s="1615"/>
      <c r="J29" s="1615"/>
      <c r="K29" s="1615"/>
    </row>
    <row r="30" spans="1:11" ht="15.75" x14ac:dyDescent="0.25">
      <c r="A30" s="1624" t="s">
        <v>2434</v>
      </c>
      <c r="B30" s="1625"/>
      <c r="C30" s="1626"/>
      <c r="D30" s="1626"/>
      <c r="E30" s="1626"/>
      <c r="F30" s="1626"/>
      <c r="G30" s="1628"/>
      <c r="H30" s="1651"/>
      <c r="I30" s="1615"/>
      <c r="J30" s="1615"/>
      <c r="K30" s="1615"/>
    </row>
    <row r="31" spans="1:11" ht="15.75" x14ac:dyDescent="0.25">
      <c r="A31" s="2031" t="s">
        <v>2435</v>
      </c>
      <c r="B31" s="2031"/>
      <c r="C31" s="2032" t="str">
        <f>'[15]Statement of changes in equity'!$A$11</f>
        <v>As at 31.03.2024</v>
      </c>
      <c r="D31" s="2032"/>
      <c r="E31" s="2032" t="str">
        <f>'[15]Statement of changes in equity'!$A$9</f>
        <v>As at 31.03.2023</v>
      </c>
      <c r="F31" s="2032"/>
      <c r="G31" s="2033" t="str">
        <f>+G5</f>
        <v>As on 31.03.2022</v>
      </c>
      <c r="H31" s="2032"/>
      <c r="I31" s="1615"/>
      <c r="J31" s="1615"/>
      <c r="K31" s="1615"/>
    </row>
    <row r="32" spans="1:11" ht="15.75" x14ac:dyDescent="0.25">
      <c r="A32" s="2031"/>
      <c r="B32" s="2031"/>
      <c r="C32" s="2038" t="s">
        <v>2422</v>
      </c>
      <c r="D32" s="2039"/>
      <c r="E32" s="2038" t="s">
        <v>2422</v>
      </c>
      <c r="F32" s="2039"/>
      <c r="G32" s="2037" t="s">
        <v>2422</v>
      </c>
      <c r="H32" s="2035"/>
      <c r="I32" s="1615"/>
      <c r="J32" s="1615"/>
      <c r="K32" s="1615"/>
    </row>
    <row r="33" spans="1:21" ht="15.75" x14ac:dyDescent="0.25">
      <c r="A33" s="2040" t="s">
        <v>2436</v>
      </c>
      <c r="B33" s="2040"/>
      <c r="C33" s="2053">
        <f>+C22</f>
        <v>26115397229.399998</v>
      </c>
      <c r="D33" s="2046"/>
      <c r="E33" s="2053">
        <f>+F22*10^7/10</f>
        <v>25918496225.999996</v>
      </c>
      <c r="F33" s="2046"/>
      <c r="G33" s="2045">
        <f>+H22*10^7/10</f>
        <v>25450446225.999996</v>
      </c>
      <c r="H33" s="2046"/>
      <c r="I33" s="1615"/>
      <c r="J33" s="1615"/>
      <c r="K33" s="1615"/>
      <c r="T33" s="1615"/>
      <c r="U33" s="1615"/>
    </row>
    <row r="34" spans="1:21" ht="15.75" x14ac:dyDescent="0.25">
      <c r="A34" s="2047" t="s">
        <v>2437</v>
      </c>
      <c r="B34" s="2048"/>
      <c r="C34" s="1652"/>
      <c r="D34" s="1653">
        <f>+D22</f>
        <v>26115.397229399994</v>
      </c>
      <c r="E34" s="1654"/>
      <c r="F34" s="1653">
        <f>+E33*10/10^7</f>
        <v>25918.496225999996</v>
      </c>
      <c r="G34" s="1655"/>
      <c r="H34" s="1632">
        <f>+G33*10/10^7</f>
        <v>25450.446225999996</v>
      </c>
      <c r="I34" s="1615"/>
      <c r="J34" s="1656"/>
      <c r="K34" s="1615"/>
      <c r="T34" s="1615"/>
      <c r="U34" s="1615"/>
    </row>
    <row r="35" spans="1:21" ht="15.75" x14ac:dyDescent="0.25">
      <c r="A35" s="2050" t="s">
        <v>2438</v>
      </c>
      <c r="B35" s="2051"/>
      <c r="C35" s="2051"/>
      <c r="D35" s="2051"/>
      <c r="E35" s="2042"/>
      <c r="F35" s="2052"/>
      <c r="G35" s="1639"/>
      <c r="H35" s="1629"/>
      <c r="I35" s="1615"/>
      <c r="J35" s="1615"/>
      <c r="K35" s="1615"/>
      <c r="T35" s="1615"/>
      <c r="U35" s="1615"/>
    </row>
    <row r="36" spans="1:21" ht="15.75" x14ac:dyDescent="0.25">
      <c r="A36" s="2031" t="s">
        <v>2435</v>
      </c>
      <c r="B36" s="2031"/>
      <c r="C36" s="2032" t="str">
        <f>'[15]Statement of changes in equity'!$A$11</f>
        <v>As at 31.03.2024</v>
      </c>
      <c r="D36" s="2032"/>
      <c r="E36" s="1641"/>
      <c r="F36" s="2032" t="str">
        <f>'[15]Statement of changes in equity'!$A$9</f>
        <v>As at 31.03.2023</v>
      </c>
      <c r="G36" s="2032"/>
      <c r="H36" s="1641"/>
      <c r="I36" s="2054" t="str">
        <f>+G31</f>
        <v>As on 31.03.2022</v>
      </c>
      <c r="J36" s="2055"/>
      <c r="K36" s="1657"/>
      <c r="L36" s="1658"/>
      <c r="M36" s="1658"/>
      <c r="T36"/>
      <c r="U36"/>
    </row>
    <row r="37" spans="1:21" ht="31.5" x14ac:dyDescent="0.25">
      <c r="A37" s="2031"/>
      <c r="B37" s="2031"/>
      <c r="C37" s="1630" t="s">
        <v>2422</v>
      </c>
      <c r="D37" s="1659" t="s">
        <v>2439</v>
      </c>
      <c r="E37" s="1660" t="s">
        <v>2440</v>
      </c>
      <c r="F37" s="1630" t="s">
        <v>2422</v>
      </c>
      <c r="G37" s="1659" t="s">
        <v>2439</v>
      </c>
      <c r="H37" s="1660" t="s">
        <v>2440</v>
      </c>
      <c r="I37" s="1661" t="s">
        <v>2422</v>
      </c>
      <c r="J37" s="1661" t="s">
        <v>2439</v>
      </c>
      <c r="K37" s="1662" t="s">
        <v>2440</v>
      </c>
      <c r="L37" s="1658"/>
      <c r="M37" s="1658"/>
      <c r="T37"/>
      <c r="U37"/>
    </row>
    <row r="38" spans="1:21" ht="15.75" x14ac:dyDescent="0.25">
      <c r="A38" s="2040" t="s">
        <v>2441</v>
      </c>
      <c r="B38" s="2040"/>
      <c r="C38" s="1642">
        <f>+C33</f>
        <v>26115397229.399998</v>
      </c>
      <c r="D38" s="1663">
        <v>100</v>
      </c>
      <c r="E38" s="1663">
        <v>0</v>
      </c>
      <c r="F38" s="1642">
        <f>+E33</f>
        <v>25918496225.999996</v>
      </c>
      <c r="G38" s="1663">
        <v>100</v>
      </c>
      <c r="H38" s="1663">
        <v>0</v>
      </c>
      <c r="I38" s="1664">
        <f>+G33</f>
        <v>25450446225.999996</v>
      </c>
      <c r="J38" s="1665">
        <v>100</v>
      </c>
      <c r="K38" s="1666"/>
      <c r="L38" s="1658"/>
      <c r="M38" s="1658"/>
      <c r="T38"/>
      <c r="U38"/>
    </row>
    <row r="39" spans="1:21" ht="15.75" hidden="1" x14ac:dyDescent="0.25">
      <c r="A39" s="1667"/>
      <c r="B39" s="1668"/>
      <c r="C39" s="1669"/>
      <c r="D39" s="1669"/>
      <c r="E39" s="1669"/>
      <c r="F39" s="1669"/>
      <c r="G39" s="1615"/>
      <c r="H39" s="1615"/>
      <c r="I39" s="1615"/>
      <c r="J39" s="1615"/>
      <c r="K39" s="1615"/>
      <c r="T39" s="1615"/>
      <c r="U39" s="1615"/>
    </row>
    <row r="40" spans="1:21" hidden="1" x14ac:dyDescent="0.25">
      <c r="A40" s="1615"/>
      <c r="B40" s="1615"/>
      <c r="G40" s="1615"/>
      <c r="H40" s="1615"/>
      <c r="I40" s="1615"/>
      <c r="J40" s="1615"/>
      <c r="K40" s="1615"/>
      <c r="T40" s="1615"/>
      <c r="U40" s="1615"/>
    </row>
    <row r="41" spans="1:21" x14ac:dyDescent="0.25">
      <c r="A41" s="1615"/>
      <c r="B41" s="1615"/>
      <c r="G41" s="1615"/>
      <c r="H41" s="1615"/>
      <c r="I41" s="1615"/>
      <c r="J41" s="1615"/>
      <c r="K41" s="1615"/>
      <c r="T41" s="1615"/>
      <c r="U41" s="1615"/>
    </row>
    <row r="42" spans="1:21" ht="15.75" x14ac:dyDescent="0.25">
      <c r="A42" s="1670" t="s">
        <v>2442</v>
      </c>
      <c r="B42" s="1615"/>
      <c r="G42" s="1615"/>
      <c r="H42" s="1615"/>
      <c r="I42" s="1615"/>
      <c r="J42" s="1615"/>
      <c r="K42" s="1615"/>
      <c r="T42" s="1615"/>
      <c r="U42" s="1615"/>
    </row>
    <row r="43" spans="1:21" ht="15.75" x14ac:dyDescent="0.25">
      <c r="A43" s="1671"/>
      <c r="B43" s="2056" t="str">
        <f>C31</f>
        <v>As at 31.03.2024</v>
      </c>
      <c r="C43" s="2057"/>
      <c r="D43" s="2058" t="str">
        <f>E31</f>
        <v>As at 31.03.2023</v>
      </c>
      <c r="E43" s="2059"/>
      <c r="F43" s="2060" t="s">
        <v>2443</v>
      </c>
      <c r="G43" s="1672"/>
      <c r="H43" s="1615"/>
      <c r="I43" s="1615"/>
      <c r="J43" s="1615"/>
      <c r="K43"/>
      <c r="S43" s="1615"/>
      <c r="T43" s="1615"/>
      <c r="U43" s="1615"/>
    </row>
    <row r="44" spans="1:21" ht="15.75" x14ac:dyDescent="0.25">
      <c r="A44" s="1673" t="s">
        <v>2444</v>
      </c>
      <c r="B44" s="1674" t="s">
        <v>2445</v>
      </c>
      <c r="C44" s="1674" t="s">
        <v>2446</v>
      </c>
      <c r="D44" s="1674" t="s">
        <v>2445</v>
      </c>
      <c r="E44" s="1674" t="s">
        <v>2446</v>
      </c>
      <c r="F44" s="2061"/>
      <c r="G44" s="1672"/>
      <c r="H44" s="1615"/>
      <c r="I44" s="1615"/>
      <c r="J44" s="1615"/>
      <c r="K44"/>
      <c r="S44" s="1615"/>
      <c r="T44" s="1615"/>
      <c r="U44" s="1615"/>
    </row>
    <row r="45" spans="1:21" x14ac:dyDescent="0.25">
      <c r="A45" s="1675"/>
      <c r="B45" s="1676"/>
      <c r="C45" s="1676"/>
      <c r="D45" s="1676"/>
      <c r="E45" s="1676"/>
      <c r="F45" s="1677"/>
      <c r="G45" s="1678"/>
      <c r="H45" s="1615"/>
      <c r="I45" s="1615"/>
      <c r="J45" s="1615"/>
      <c r="K45"/>
      <c r="S45" s="1615"/>
      <c r="T45" s="1615"/>
      <c r="U45" s="1615"/>
    </row>
    <row r="46" spans="1:21" x14ac:dyDescent="0.25">
      <c r="A46" s="1679" t="s">
        <v>2441</v>
      </c>
      <c r="B46" s="1680">
        <f>C38</f>
        <v>26115397229.399998</v>
      </c>
      <c r="C46" s="1681">
        <f>D38</f>
        <v>100</v>
      </c>
      <c r="D46" s="1680">
        <f>F38</f>
        <v>25918496225.999996</v>
      </c>
      <c r="E46" s="1681">
        <f>G38</f>
        <v>100</v>
      </c>
      <c r="F46" s="1682" t="s">
        <v>2447</v>
      </c>
      <c r="G46" s="1683"/>
      <c r="H46" s="1615"/>
      <c r="I46" s="1615"/>
      <c r="J46" s="1615"/>
      <c r="K46"/>
      <c r="S46" s="1615"/>
      <c r="T46" s="1615"/>
      <c r="U46" s="1615"/>
    </row>
    <row r="47" spans="1:21" x14ac:dyDescent="0.25">
      <c r="A47" s="1615"/>
      <c r="B47" s="1615"/>
      <c r="G47" s="1615"/>
      <c r="H47" s="1615"/>
      <c r="I47" s="1615"/>
      <c r="J47" s="1615"/>
      <c r="K47" s="1615"/>
      <c r="T47" s="1615"/>
      <c r="U47" s="1615"/>
    </row>
    <row r="48" spans="1:21" x14ac:dyDescent="0.25">
      <c r="A48" s="1615"/>
      <c r="B48" s="1615"/>
      <c r="G48" s="1615"/>
      <c r="H48" s="1615"/>
      <c r="I48" s="1615"/>
      <c r="J48" s="1615"/>
      <c r="K48" s="1615"/>
      <c r="T48" s="1615"/>
      <c r="U48" s="1615"/>
    </row>
    <row r="49" spans="1:21" x14ac:dyDescent="0.25">
      <c r="A49" s="1615"/>
      <c r="B49" s="1615"/>
      <c r="G49" s="1615"/>
      <c r="H49" s="1615"/>
      <c r="I49" s="1615"/>
      <c r="J49" s="1615"/>
      <c r="K49" s="1615"/>
      <c r="T49" s="1615"/>
      <c r="U49" s="1615"/>
    </row>
    <row r="50" spans="1:21" x14ac:dyDescent="0.25">
      <c r="A50" s="1615"/>
      <c r="B50" s="1615"/>
      <c r="G50" s="1615"/>
      <c r="H50" s="1615"/>
      <c r="I50" s="1615"/>
      <c r="J50" s="1615"/>
      <c r="K50" s="1615"/>
      <c r="T50" s="1615"/>
      <c r="U50" s="1615"/>
    </row>
    <row r="51" spans="1:21" x14ac:dyDescent="0.25">
      <c r="A51" s="1615"/>
      <c r="B51" s="1615"/>
      <c r="G51" s="1615"/>
      <c r="H51" s="1615"/>
      <c r="I51" s="1615"/>
      <c r="J51" s="1615"/>
      <c r="K51" s="1615"/>
      <c r="T51" s="1615"/>
      <c r="U51" s="1615"/>
    </row>
    <row r="52" spans="1:21" x14ac:dyDescent="0.25">
      <c r="A52" s="1615"/>
      <c r="B52" s="1615"/>
      <c r="G52" s="1615"/>
      <c r="H52" s="1615"/>
      <c r="I52" s="1615"/>
      <c r="J52" s="1615"/>
      <c r="K52" s="1615"/>
      <c r="T52" s="1615"/>
      <c r="U52" s="1615"/>
    </row>
    <row r="53" spans="1:21" x14ac:dyDescent="0.25">
      <c r="A53" s="1615"/>
      <c r="B53" s="1615"/>
      <c r="G53" s="1615"/>
      <c r="H53" s="1615"/>
      <c r="I53" s="1615"/>
      <c r="J53" s="1615"/>
      <c r="K53" s="1615"/>
      <c r="T53" s="1615"/>
      <c r="U53" s="1615"/>
    </row>
    <row r="54" spans="1:21" x14ac:dyDescent="0.25">
      <c r="A54" s="1615"/>
      <c r="B54" s="1615"/>
      <c r="C54" s="1656">
        <f>25343946226-59820000</f>
        <v>25284126226</v>
      </c>
      <c r="D54" s="1656">
        <f>253439462260-598200000</f>
        <v>252841262260</v>
      </c>
      <c r="G54" s="1615"/>
      <c r="H54" s="1615"/>
      <c r="I54" s="1615"/>
      <c r="J54" s="1615"/>
      <c r="K54" s="1615"/>
      <c r="T54" s="1615"/>
      <c r="U54" s="1615"/>
    </row>
    <row r="55" spans="1:21" x14ac:dyDescent="0.25">
      <c r="A55" s="1615"/>
      <c r="B55" s="1615"/>
      <c r="C55" s="1656">
        <f>+C54-C22</f>
        <v>-831271003.39999771</v>
      </c>
      <c r="D55" s="1656">
        <f>+D22*10^7</f>
        <v>261153972293.99994</v>
      </c>
      <c r="G55" s="1615"/>
      <c r="H55" s="1615"/>
      <c r="I55" s="1615"/>
      <c r="J55" s="1615"/>
      <c r="K55" s="1615"/>
      <c r="T55" s="1615"/>
      <c r="U55" s="1615"/>
    </row>
    <row r="56" spans="1:21" x14ac:dyDescent="0.25">
      <c r="A56" s="2049"/>
      <c r="B56" s="2049"/>
      <c r="D56" s="1656">
        <f>+D54-D55</f>
        <v>-8312710033.999939</v>
      </c>
      <c r="G56" s="1615"/>
      <c r="H56" s="1615"/>
      <c r="I56" s="1615"/>
      <c r="J56" s="1615"/>
      <c r="K56" s="1615"/>
      <c r="T56" s="1615"/>
      <c r="U56" s="1615"/>
    </row>
    <row r="57" spans="1:21" x14ac:dyDescent="0.25">
      <c r="A57" s="1615"/>
      <c r="B57" s="1615"/>
      <c r="G57" s="1615"/>
      <c r="H57" s="1615"/>
      <c r="I57" s="1615"/>
      <c r="J57" s="1615"/>
      <c r="K57" s="1615"/>
      <c r="T57" s="1615"/>
      <c r="U57" s="1615"/>
    </row>
  </sheetData>
  <mergeCells count="47">
    <mergeCell ref="I36:J36"/>
    <mergeCell ref="A38:B38"/>
    <mergeCell ref="B43:C43"/>
    <mergeCell ref="D43:E43"/>
    <mergeCell ref="F43:F44"/>
    <mergeCell ref="G33:H33"/>
    <mergeCell ref="A34:B34"/>
    <mergeCell ref="A56:B56"/>
    <mergeCell ref="A36:B37"/>
    <mergeCell ref="C36:D36"/>
    <mergeCell ref="F36:G36"/>
    <mergeCell ref="A35:F35"/>
    <mergeCell ref="A33:B33"/>
    <mergeCell ref="C33:D33"/>
    <mergeCell ref="E33:F33"/>
    <mergeCell ref="G31:H31"/>
    <mergeCell ref="C32:D32"/>
    <mergeCell ref="E32:F32"/>
    <mergeCell ref="G32:H32"/>
    <mergeCell ref="A20:B20"/>
    <mergeCell ref="A21:B21"/>
    <mergeCell ref="A22:B22"/>
    <mergeCell ref="A23:F23"/>
    <mergeCell ref="A25:F25"/>
    <mergeCell ref="A26:F26"/>
    <mergeCell ref="A27:F27"/>
    <mergeCell ref="A28:F28"/>
    <mergeCell ref="A31:B32"/>
    <mergeCell ref="C31:D31"/>
    <mergeCell ref="E31:F31"/>
    <mergeCell ref="A17:B19"/>
    <mergeCell ref="C17:D17"/>
    <mergeCell ref="E17:F17"/>
    <mergeCell ref="G17:H17"/>
    <mergeCell ref="C18:D18"/>
    <mergeCell ref="E18:F18"/>
    <mergeCell ref="G18:H18"/>
    <mergeCell ref="A5:A6"/>
    <mergeCell ref="B5:B6"/>
    <mergeCell ref="C5:D5"/>
    <mergeCell ref="E5:F5"/>
    <mergeCell ref="G5:H5"/>
    <mergeCell ref="A11:A12"/>
    <mergeCell ref="B11:B12"/>
    <mergeCell ref="C11:D11"/>
    <mergeCell ref="E11:F11"/>
    <mergeCell ref="G11:H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9"/>
  <sheetViews>
    <sheetView workbookViewId="0">
      <selection activeCell="L5" sqref="L5"/>
    </sheetView>
  </sheetViews>
  <sheetFormatPr defaultColWidth="9.140625" defaultRowHeight="15" x14ac:dyDescent="0.25"/>
  <cols>
    <col min="1" max="1" width="8" style="1688" customWidth="1"/>
    <col min="2" max="2" width="9.140625" style="1688"/>
    <col min="3" max="3" width="10" style="1688" customWidth="1"/>
    <col min="4" max="4" width="17.85546875" style="1689" customWidth="1"/>
    <col min="5" max="5" width="13.5703125" style="1689" customWidth="1"/>
    <col min="6" max="6" width="26.85546875" style="1688" customWidth="1"/>
    <col min="7" max="7" width="14.7109375" style="1691" customWidth="1"/>
    <col min="8" max="8" width="14.7109375" style="1764" customWidth="1"/>
    <col min="9" max="9" width="14.7109375" style="1688" customWidth="1"/>
    <col min="10" max="10" width="26" style="1692" customWidth="1"/>
    <col min="11" max="11" width="10.42578125" style="1689" customWidth="1"/>
    <col min="12" max="12" width="15.42578125" style="1689" customWidth="1"/>
    <col min="13" max="13" width="41.28515625" style="1693" customWidth="1"/>
    <col min="14" max="14" width="8" style="1688" customWidth="1"/>
    <col min="15" max="16384" width="9.140625" style="1688"/>
  </cols>
  <sheetData>
    <row r="1" spans="1:16" x14ac:dyDescent="0.25">
      <c r="B1" s="1688" t="s">
        <v>2957</v>
      </c>
      <c r="F1" s="1690">
        <f>G1-H1</f>
        <v>24724.545963311393</v>
      </c>
      <c r="G1" s="1691">
        <f>SUBTOTAL(9,G4:G181)</f>
        <v>27655.01150491599</v>
      </c>
      <c r="H1" s="1691">
        <f>SUBTOTAL(9,H4:H181)</f>
        <v>2930.4655416045989</v>
      </c>
      <c r="I1" s="1691">
        <f>SUBTOTAL(9,I4:I181)</f>
        <v>24724.54596331139</v>
      </c>
    </row>
    <row r="2" spans="1:16" x14ac:dyDescent="0.25">
      <c r="B2" s="1694" t="s">
        <v>2956</v>
      </c>
      <c r="C2" s="1695"/>
      <c r="D2" s="1696"/>
      <c r="E2" s="1696"/>
      <c r="F2" s="1695"/>
      <c r="G2" s="1697"/>
      <c r="H2" s="1698"/>
      <c r="I2" s="1695"/>
      <c r="J2" s="1699"/>
      <c r="K2" s="1696"/>
      <c r="L2" s="1696"/>
      <c r="M2" s="1700" t="s">
        <v>2955</v>
      </c>
    </row>
    <row r="3" spans="1:16" s="1701" customFormat="1" ht="68.25" customHeight="1" x14ac:dyDescent="0.2">
      <c r="B3" s="1702" t="s">
        <v>5</v>
      </c>
      <c r="C3" s="1702" t="s">
        <v>2954</v>
      </c>
      <c r="D3" s="1702" t="s">
        <v>2953</v>
      </c>
      <c r="E3" s="1702" t="s">
        <v>2952</v>
      </c>
      <c r="F3" s="1702" t="s">
        <v>2951</v>
      </c>
      <c r="G3" s="1703" t="s">
        <v>2950</v>
      </c>
      <c r="H3" s="1704" t="s">
        <v>2949</v>
      </c>
      <c r="I3" s="1705" t="s">
        <v>2948</v>
      </c>
      <c r="J3" s="1705" t="s">
        <v>2947</v>
      </c>
      <c r="K3" s="1706" t="s">
        <v>2946</v>
      </c>
      <c r="L3" s="1707"/>
      <c r="M3" s="1708" t="s">
        <v>2945</v>
      </c>
      <c r="N3" s="1709"/>
      <c r="O3" s="1710" t="s">
        <v>2857</v>
      </c>
      <c r="P3" s="1711">
        <f>SUM(H4:H45)</f>
        <v>1082.0128803</v>
      </c>
    </row>
    <row r="4" spans="1:16" s="1722" customFormat="1" ht="108" customHeight="1" x14ac:dyDescent="0.25">
      <c r="A4" s="1712"/>
      <c r="B4" s="1713">
        <v>1</v>
      </c>
      <c r="C4" s="1714" t="s">
        <v>2857</v>
      </c>
      <c r="D4" s="1714">
        <v>53032</v>
      </c>
      <c r="E4" s="1714">
        <v>21501001</v>
      </c>
      <c r="F4" s="1715" t="s">
        <v>2944</v>
      </c>
      <c r="G4" s="1687">
        <v>130.65651679999999</v>
      </c>
      <c r="H4" s="1716">
        <v>71.266800000000003</v>
      </c>
      <c r="I4" s="1716">
        <f t="shared" ref="I4:I35" si="0">G4-H4</f>
        <v>59.389716799999988</v>
      </c>
      <c r="J4" s="1717" t="s">
        <v>2943</v>
      </c>
      <c r="K4" s="1718">
        <v>9.4500000000000001E-2</v>
      </c>
      <c r="L4" s="1718"/>
      <c r="M4" s="1717" t="s">
        <v>2940</v>
      </c>
      <c r="N4" s="1719"/>
      <c r="O4" s="1720" t="s">
        <v>2479</v>
      </c>
      <c r="P4" s="1721">
        <f>SUM(H46:H174)</f>
        <v>1615.0095035046011</v>
      </c>
    </row>
    <row r="5" spans="1:16" s="1722" customFormat="1" ht="120" x14ac:dyDescent="0.25">
      <c r="A5" s="1712"/>
      <c r="B5" s="1713">
        <v>2</v>
      </c>
      <c r="C5" s="1714" t="s">
        <v>2857</v>
      </c>
      <c r="D5" s="1714">
        <v>53004</v>
      </c>
      <c r="E5" s="1714">
        <v>21501002</v>
      </c>
      <c r="F5" s="1715" t="s">
        <v>2942</v>
      </c>
      <c r="G5" s="1687">
        <v>162.99200020000001</v>
      </c>
      <c r="H5" s="1716">
        <v>88.904399999999995</v>
      </c>
      <c r="I5" s="1716">
        <f t="shared" si="0"/>
        <v>74.087600200000011</v>
      </c>
      <c r="J5" s="1717" t="s">
        <v>2941</v>
      </c>
      <c r="K5" s="1718">
        <v>9.4500000000000001E-2</v>
      </c>
      <c r="L5" s="1718"/>
      <c r="M5" s="1717" t="s">
        <v>2940</v>
      </c>
      <c r="N5" s="1719"/>
      <c r="O5" s="1720"/>
    </row>
    <row r="6" spans="1:16" ht="60" x14ac:dyDescent="0.25">
      <c r="A6" s="1723"/>
      <c r="B6" s="1713">
        <v>3</v>
      </c>
      <c r="C6" s="1714" t="s">
        <v>2857</v>
      </c>
      <c r="D6" s="1714">
        <v>53031</v>
      </c>
      <c r="E6" s="1714">
        <v>21504017</v>
      </c>
      <c r="F6" s="1715" t="s">
        <v>2939</v>
      </c>
      <c r="G6" s="1687">
        <v>2.3858334000000001</v>
      </c>
      <c r="H6" s="1716">
        <v>2.3860000000000001</v>
      </c>
      <c r="I6" s="1716">
        <f t="shared" si="0"/>
        <v>-1.6660000000001673E-4</v>
      </c>
      <c r="J6" s="1717" t="s">
        <v>2938</v>
      </c>
      <c r="K6" s="1718">
        <v>0.1012</v>
      </c>
      <c r="L6" s="1718"/>
      <c r="M6" s="1717" t="s">
        <v>2937</v>
      </c>
      <c r="N6" s="1701"/>
      <c r="O6" s="1724"/>
    </row>
    <row r="7" spans="1:16" s="1722" customFormat="1" ht="120" x14ac:dyDescent="0.25">
      <c r="A7" s="1712"/>
      <c r="B7" s="1713">
        <v>4</v>
      </c>
      <c r="C7" s="1714" t="s">
        <v>2857</v>
      </c>
      <c r="D7" s="1714">
        <v>53030</v>
      </c>
      <c r="E7" s="1714">
        <v>21504018</v>
      </c>
      <c r="F7" s="1715" t="s">
        <v>2936</v>
      </c>
      <c r="G7" s="1687">
        <v>5386.5228864999999</v>
      </c>
      <c r="H7" s="1716">
        <v>666.37395960000003</v>
      </c>
      <c r="I7" s="1716">
        <f t="shared" si="0"/>
        <v>4720.1489268999994</v>
      </c>
      <c r="J7" s="1717" t="s">
        <v>2935</v>
      </c>
      <c r="K7" s="1718">
        <v>0.09</v>
      </c>
      <c r="L7" s="1718"/>
      <c r="M7" s="1725" t="s">
        <v>2934</v>
      </c>
      <c r="N7" s="1719"/>
      <c r="O7" s="1720"/>
    </row>
    <row r="8" spans="1:16" ht="66.75" customHeight="1" x14ac:dyDescent="0.25">
      <c r="A8" s="1723"/>
      <c r="B8" s="1713">
        <v>5</v>
      </c>
      <c r="C8" s="1714" t="s">
        <v>2857</v>
      </c>
      <c r="D8" s="1714">
        <v>53036</v>
      </c>
      <c r="E8" s="1714">
        <v>21504019</v>
      </c>
      <c r="F8" s="1715" t="s">
        <v>2933</v>
      </c>
      <c r="G8" s="1687">
        <v>3.4972167999999999</v>
      </c>
      <c r="H8" s="1716">
        <v>0.46600000000000003</v>
      </c>
      <c r="I8" s="1716">
        <f t="shared" si="0"/>
        <v>3.0312167999999997</v>
      </c>
      <c r="J8" s="1717" t="s">
        <v>2932</v>
      </c>
      <c r="K8" s="1718">
        <v>0.1012</v>
      </c>
      <c r="L8" s="1726" t="s">
        <v>2890</v>
      </c>
      <c r="M8" s="1717" t="s">
        <v>2911</v>
      </c>
      <c r="N8" s="1701"/>
      <c r="O8" s="1724"/>
    </row>
    <row r="9" spans="1:16" ht="75" x14ac:dyDescent="0.25">
      <c r="A9" s="1723"/>
      <c r="B9" s="1713">
        <v>6</v>
      </c>
      <c r="C9" s="1714" t="s">
        <v>2857</v>
      </c>
      <c r="D9" s="1714">
        <v>53035</v>
      </c>
      <c r="E9" s="1714">
        <v>21504020</v>
      </c>
      <c r="F9" s="1715" t="s">
        <v>2931</v>
      </c>
      <c r="G9" s="1687">
        <v>63.9000001</v>
      </c>
      <c r="H9" s="1716">
        <v>14.2</v>
      </c>
      <c r="I9" s="1716">
        <f t="shared" si="0"/>
        <v>49.700000099999997</v>
      </c>
      <c r="J9" s="1717" t="s">
        <v>2930</v>
      </c>
      <c r="K9" s="1718">
        <v>0.1012</v>
      </c>
      <c r="L9" s="1726" t="s">
        <v>2890</v>
      </c>
      <c r="M9" s="1717" t="s">
        <v>2929</v>
      </c>
      <c r="N9" s="1701"/>
      <c r="O9" s="1724"/>
    </row>
    <row r="10" spans="1:16" ht="78" customHeight="1" x14ac:dyDescent="0.25">
      <c r="A10" s="1723"/>
      <c r="B10" s="1713">
        <v>7</v>
      </c>
      <c r="C10" s="1714" t="s">
        <v>2857</v>
      </c>
      <c r="D10" s="1714">
        <v>53037</v>
      </c>
      <c r="E10" s="1714">
        <v>21504021</v>
      </c>
      <c r="F10" s="1715" t="s">
        <v>2928</v>
      </c>
      <c r="G10" s="1687">
        <v>61.787818799999997</v>
      </c>
      <c r="H10" s="1716">
        <v>6.5035999999999996</v>
      </c>
      <c r="I10" s="1716">
        <f t="shared" si="0"/>
        <v>55.284218799999998</v>
      </c>
      <c r="J10" s="1717" t="s">
        <v>2927</v>
      </c>
      <c r="K10" s="1718">
        <v>0.1012</v>
      </c>
      <c r="L10" s="1726" t="s">
        <v>2890</v>
      </c>
      <c r="M10" s="1717" t="s">
        <v>2914</v>
      </c>
      <c r="N10" s="1701"/>
      <c r="O10" s="1724"/>
    </row>
    <row r="11" spans="1:16" ht="69.75" customHeight="1" x14ac:dyDescent="0.25">
      <c r="A11" s="1723"/>
      <c r="B11" s="1713">
        <v>8</v>
      </c>
      <c r="C11" s="1714" t="s">
        <v>2857</v>
      </c>
      <c r="D11" s="1714">
        <v>53040</v>
      </c>
      <c r="E11" s="1714">
        <v>21504024</v>
      </c>
      <c r="F11" s="1715" t="s">
        <v>2926</v>
      </c>
      <c r="G11" s="1687">
        <v>3.0578055000000002</v>
      </c>
      <c r="H11" s="1716">
        <v>0.47039999999999998</v>
      </c>
      <c r="I11" s="1716">
        <f t="shared" si="0"/>
        <v>2.5874055</v>
      </c>
      <c r="J11" s="1717" t="s">
        <v>2901</v>
      </c>
      <c r="K11" s="1718">
        <v>0.1012</v>
      </c>
      <c r="L11" s="1726" t="s">
        <v>2890</v>
      </c>
      <c r="M11" s="1717" t="s">
        <v>2911</v>
      </c>
      <c r="N11" s="1701"/>
      <c r="O11" s="1724"/>
    </row>
    <row r="12" spans="1:16" ht="65.25" customHeight="1" x14ac:dyDescent="0.25">
      <c r="A12" s="1723"/>
      <c r="B12" s="1713">
        <v>9</v>
      </c>
      <c r="C12" s="1714" t="s">
        <v>2857</v>
      </c>
      <c r="D12" s="1714">
        <v>53041</v>
      </c>
      <c r="E12" s="1714">
        <v>21504025</v>
      </c>
      <c r="F12" s="1715" t="s">
        <v>2925</v>
      </c>
      <c r="G12" s="1687">
        <v>10.5760197</v>
      </c>
      <c r="H12" s="1716">
        <v>1.6272</v>
      </c>
      <c r="I12" s="1716">
        <f t="shared" si="0"/>
        <v>8.9488196999999996</v>
      </c>
      <c r="J12" s="1717" t="s">
        <v>2924</v>
      </c>
      <c r="K12" s="1718">
        <v>0.1012</v>
      </c>
      <c r="L12" s="1726" t="s">
        <v>2890</v>
      </c>
      <c r="M12" s="1717" t="s">
        <v>2911</v>
      </c>
      <c r="N12" s="1701"/>
      <c r="O12" s="1724"/>
    </row>
    <row r="13" spans="1:16" ht="69.75" customHeight="1" x14ac:dyDescent="0.25">
      <c r="A13" s="1723"/>
      <c r="B13" s="1713">
        <v>10</v>
      </c>
      <c r="C13" s="1714" t="s">
        <v>2857</v>
      </c>
      <c r="D13" s="1714">
        <v>53045</v>
      </c>
      <c r="E13" s="1714">
        <v>21504029</v>
      </c>
      <c r="F13" s="1715" t="s">
        <v>2923</v>
      </c>
      <c r="G13" s="1687">
        <v>1.5491785</v>
      </c>
      <c r="H13" s="1716">
        <v>0.29480000000000001</v>
      </c>
      <c r="I13" s="1716">
        <f t="shared" si="0"/>
        <v>1.2543785000000001</v>
      </c>
      <c r="J13" s="1717" t="s">
        <v>2922</v>
      </c>
      <c r="K13" s="1718">
        <v>0.1012</v>
      </c>
      <c r="L13" s="1726" t="s">
        <v>2890</v>
      </c>
      <c r="M13" s="1717" t="s">
        <v>2911</v>
      </c>
      <c r="N13" s="1701"/>
      <c r="O13" s="1724"/>
    </row>
    <row r="14" spans="1:16" ht="78.75" customHeight="1" x14ac:dyDescent="0.25">
      <c r="A14" s="1723">
        <f>G13/40</f>
        <v>3.8729462499999999E-2</v>
      </c>
      <c r="B14" s="1713">
        <v>11</v>
      </c>
      <c r="C14" s="1714" t="s">
        <v>2857</v>
      </c>
      <c r="D14" s="1714">
        <v>53046</v>
      </c>
      <c r="E14" s="1714">
        <v>21504030</v>
      </c>
      <c r="F14" s="1715" t="s">
        <v>2921</v>
      </c>
      <c r="G14" s="1687">
        <v>0.30625279999999999</v>
      </c>
      <c r="H14" s="1716">
        <v>4.0800000000000003E-2</v>
      </c>
      <c r="I14" s="1716">
        <f t="shared" si="0"/>
        <v>0.26545279999999999</v>
      </c>
      <c r="J14" s="1717" t="s">
        <v>2920</v>
      </c>
      <c r="K14" s="1718">
        <v>0.1012</v>
      </c>
      <c r="L14" s="1726" t="s">
        <v>2890</v>
      </c>
      <c r="M14" s="1717" t="s">
        <v>2911</v>
      </c>
      <c r="N14" s="1701"/>
      <c r="O14" s="1724"/>
    </row>
    <row r="15" spans="1:16" ht="63" customHeight="1" x14ac:dyDescent="0.25">
      <c r="A15" s="1723"/>
      <c r="B15" s="1713">
        <v>12</v>
      </c>
      <c r="C15" s="1714" t="s">
        <v>2857</v>
      </c>
      <c r="D15" s="1714">
        <v>53047</v>
      </c>
      <c r="E15" s="1714">
        <v>21504031</v>
      </c>
      <c r="F15" s="1715" t="s">
        <v>2919</v>
      </c>
      <c r="G15" s="1687">
        <v>3.8266035</v>
      </c>
      <c r="H15" s="1716">
        <v>0.51</v>
      </c>
      <c r="I15" s="1716">
        <f t="shared" si="0"/>
        <v>3.3166035000000003</v>
      </c>
      <c r="J15" s="1717" t="s">
        <v>2917</v>
      </c>
      <c r="K15" s="1718">
        <v>0.1012</v>
      </c>
      <c r="L15" s="1726" t="s">
        <v>2890</v>
      </c>
      <c r="M15" s="1717" t="s">
        <v>2911</v>
      </c>
      <c r="N15" s="1701"/>
      <c r="O15" s="1724"/>
    </row>
    <row r="16" spans="1:16" ht="75" x14ac:dyDescent="0.25">
      <c r="A16" s="1723"/>
      <c r="B16" s="1713">
        <v>13</v>
      </c>
      <c r="C16" s="1714" t="s">
        <v>2857</v>
      </c>
      <c r="D16" s="1714">
        <v>53048</v>
      </c>
      <c r="E16" s="1714">
        <v>21504032</v>
      </c>
      <c r="F16" s="1715" t="s">
        <v>2918</v>
      </c>
      <c r="G16" s="1687">
        <v>3.8987311</v>
      </c>
      <c r="H16" s="1716">
        <v>0.51959999999999995</v>
      </c>
      <c r="I16" s="1716">
        <f t="shared" si="0"/>
        <v>3.3791310999999999</v>
      </c>
      <c r="J16" s="1717" t="s">
        <v>2917</v>
      </c>
      <c r="K16" s="1718">
        <v>0.1012</v>
      </c>
      <c r="L16" s="1726" t="s">
        <v>2890</v>
      </c>
      <c r="M16" s="1717" t="s">
        <v>2911</v>
      </c>
      <c r="N16" s="1701"/>
      <c r="O16" s="1724"/>
    </row>
    <row r="17" spans="1:15" ht="75" x14ac:dyDescent="0.25">
      <c r="A17" s="1723"/>
      <c r="B17" s="1713">
        <v>14</v>
      </c>
      <c r="C17" s="1714" t="s">
        <v>2857</v>
      </c>
      <c r="D17" s="1714">
        <v>53050</v>
      </c>
      <c r="E17" s="1714">
        <v>21504034</v>
      </c>
      <c r="F17" s="1715" t="s">
        <v>2916</v>
      </c>
      <c r="G17" s="1687">
        <v>3.2433709999999998</v>
      </c>
      <c r="H17" s="1716">
        <v>0.49880000000000002</v>
      </c>
      <c r="I17" s="1716">
        <f t="shared" si="0"/>
        <v>2.7445709999999996</v>
      </c>
      <c r="J17" s="1717" t="s">
        <v>2915</v>
      </c>
      <c r="K17" s="1718">
        <v>0.1012</v>
      </c>
      <c r="L17" s="1726" t="s">
        <v>2890</v>
      </c>
      <c r="M17" s="1717" t="s">
        <v>2914</v>
      </c>
      <c r="N17" s="1701"/>
      <c r="O17" s="1724"/>
    </row>
    <row r="18" spans="1:15" ht="90" x14ac:dyDescent="0.25">
      <c r="A18" s="1723"/>
      <c r="B18" s="1713">
        <v>15</v>
      </c>
      <c r="C18" s="1714" t="s">
        <v>2857</v>
      </c>
      <c r="D18" s="1714">
        <v>53053</v>
      </c>
      <c r="E18" s="1714">
        <v>21504037</v>
      </c>
      <c r="F18" s="1715" t="s">
        <v>2913</v>
      </c>
      <c r="G18" s="1687">
        <v>6.8300953</v>
      </c>
      <c r="H18" s="1716">
        <v>1.1879999999999999</v>
      </c>
      <c r="I18" s="1716">
        <f t="shared" si="0"/>
        <v>5.6420953000000003</v>
      </c>
      <c r="J18" s="1717" t="s">
        <v>2912</v>
      </c>
      <c r="K18" s="1718">
        <v>0.1012</v>
      </c>
      <c r="L18" s="1726" t="s">
        <v>2890</v>
      </c>
      <c r="M18" s="1717" t="s">
        <v>2911</v>
      </c>
      <c r="N18" s="1701"/>
      <c r="O18" s="1724"/>
    </row>
    <row r="19" spans="1:15" ht="60" x14ac:dyDescent="0.25">
      <c r="A19" s="1723"/>
      <c r="B19" s="1713">
        <v>16</v>
      </c>
      <c r="C19" s="1714" t="s">
        <v>2857</v>
      </c>
      <c r="D19" s="1714">
        <v>53054</v>
      </c>
      <c r="E19" s="1714">
        <v>21504038</v>
      </c>
      <c r="F19" s="1715" t="s">
        <v>2910</v>
      </c>
      <c r="G19" s="1687">
        <v>16.542000000000002</v>
      </c>
      <c r="H19" s="1716">
        <v>1.8380000000000001</v>
      </c>
      <c r="I19" s="1716">
        <f t="shared" si="0"/>
        <v>14.704000000000001</v>
      </c>
      <c r="J19" s="1717" t="s">
        <v>2909</v>
      </c>
      <c r="K19" s="1718">
        <v>0.1012</v>
      </c>
      <c r="L19" s="1718"/>
      <c r="M19" s="1717" t="s">
        <v>2896</v>
      </c>
      <c r="N19" s="1701"/>
      <c r="O19" s="1724"/>
    </row>
    <row r="20" spans="1:15" ht="60" x14ac:dyDescent="0.25">
      <c r="A20" s="1723"/>
      <c r="B20" s="1713">
        <v>17</v>
      </c>
      <c r="C20" s="1714" t="s">
        <v>2857</v>
      </c>
      <c r="D20" s="1714">
        <v>53055</v>
      </c>
      <c r="E20" s="1714">
        <v>21504039</v>
      </c>
      <c r="F20" s="1715" t="s">
        <v>2908</v>
      </c>
      <c r="G20" s="1687">
        <v>9.5924212999999998</v>
      </c>
      <c r="H20" s="1716">
        <v>1.744</v>
      </c>
      <c r="I20" s="1716">
        <f t="shared" si="0"/>
        <v>7.8484213</v>
      </c>
      <c r="J20" s="1717" t="s">
        <v>2907</v>
      </c>
      <c r="K20" s="1718">
        <v>0.1012</v>
      </c>
      <c r="L20" s="1718"/>
      <c r="M20" s="1717" t="s">
        <v>2896</v>
      </c>
      <c r="N20" s="1701"/>
      <c r="O20" s="1724"/>
    </row>
    <row r="21" spans="1:15" ht="60" x14ac:dyDescent="0.25">
      <c r="A21" s="1723"/>
      <c r="B21" s="1713">
        <v>18</v>
      </c>
      <c r="C21" s="1714" t="s">
        <v>2857</v>
      </c>
      <c r="D21" s="1714">
        <v>53056</v>
      </c>
      <c r="E21" s="1714">
        <v>21504040</v>
      </c>
      <c r="F21" s="1715" t="s">
        <v>2906</v>
      </c>
      <c r="G21" s="1687">
        <v>5.6213328000000002</v>
      </c>
      <c r="H21" s="1716">
        <v>0.72519999999999996</v>
      </c>
      <c r="I21" s="1716">
        <f t="shared" si="0"/>
        <v>4.8961328000000002</v>
      </c>
      <c r="J21" s="1717" t="s">
        <v>2905</v>
      </c>
      <c r="K21" s="1718">
        <v>0.1012</v>
      </c>
      <c r="L21" s="1718"/>
      <c r="M21" s="1717" t="s">
        <v>2896</v>
      </c>
      <c r="N21" s="1701"/>
      <c r="O21" s="1724"/>
    </row>
    <row r="22" spans="1:15" ht="75" x14ac:dyDescent="0.25">
      <c r="A22" s="1723"/>
      <c r="B22" s="1713">
        <v>19</v>
      </c>
      <c r="C22" s="1714" t="s">
        <v>2857</v>
      </c>
      <c r="D22" s="1714">
        <v>53058</v>
      </c>
      <c r="E22" s="1714">
        <v>21504042</v>
      </c>
      <c r="F22" s="1715" t="s">
        <v>2904</v>
      </c>
      <c r="G22" s="1687">
        <v>0.72072429999999998</v>
      </c>
      <c r="H22" s="1716">
        <v>0.1108</v>
      </c>
      <c r="I22" s="1716">
        <f t="shared" si="0"/>
        <v>0.60992429999999997</v>
      </c>
      <c r="J22" s="1717" t="s">
        <v>2903</v>
      </c>
      <c r="K22" s="1718">
        <v>0.1012</v>
      </c>
      <c r="L22" s="1718"/>
      <c r="M22" s="1717" t="s">
        <v>2896</v>
      </c>
      <c r="N22" s="1701"/>
      <c r="O22" s="1724"/>
    </row>
    <row r="23" spans="1:15" ht="75" x14ac:dyDescent="0.25">
      <c r="A23" s="1723"/>
      <c r="B23" s="1713">
        <v>20</v>
      </c>
      <c r="C23" s="1714" t="s">
        <v>2857</v>
      </c>
      <c r="D23" s="1714">
        <v>53059</v>
      </c>
      <c r="E23" s="1714">
        <v>21504043</v>
      </c>
      <c r="F23" s="1715" t="s">
        <v>2902</v>
      </c>
      <c r="G23" s="1687">
        <v>3.0271883000000002</v>
      </c>
      <c r="H23" s="1716">
        <v>0.46560000000000001</v>
      </c>
      <c r="I23" s="1716">
        <f t="shared" si="0"/>
        <v>2.5615883000000004</v>
      </c>
      <c r="J23" s="1717" t="s">
        <v>2901</v>
      </c>
      <c r="K23" s="1718">
        <v>0.1012</v>
      </c>
      <c r="L23" s="1718"/>
      <c r="M23" s="1717" t="s">
        <v>2896</v>
      </c>
      <c r="N23" s="1701"/>
      <c r="O23" s="1724"/>
    </row>
    <row r="24" spans="1:15" ht="90" x14ac:dyDescent="0.25">
      <c r="A24" s="1723"/>
      <c r="B24" s="1713">
        <v>21</v>
      </c>
      <c r="C24" s="1714" t="s">
        <v>2857</v>
      </c>
      <c r="D24" s="1714">
        <v>53060</v>
      </c>
      <c r="E24" s="1714">
        <v>21504044</v>
      </c>
      <c r="F24" s="1715" t="s">
        <v>2900</v>
      </c>
      <c r="G24" s="1687">
        <v>0.8689519</v>
      </c>
      <c r="H24" s="1716">
        <v>0.1336</v>
      </c>
      <c r="I24" s="1716">
        <f t="shared" si="0"/>
        <v>0.73535189999999995</v>
      </c>
      <c r="J24" s="1717" t="s">
        <v>2899</v>
      </c>
      <c r="K24" s="1718">
        <v>0.1012</v>
      </c>
      <c r="L24" s="1718"/>
      <c r="M24" s="1717" t="s">
        <v>2896</v>
      </c>
      <c r="N24" s="1701"/>
      <c r="O24" s="1724"/>
    </row>
    <row r="25" spans="1:15" ht="75" x14ac:dyDescent="0.25">
      <c r="A25" s="1723"/>
      <c r="B25" s="1713">
        <v>22</v>
      </c>
      <c r="C25" s="1714" t="s">
        <v>2857</v>
      </c>
      <c r="D25" s="1714">
        <v>53061</v>
      </c>
      <c r="E25" s="1714">
        <v>21504045</v>
      </c>
      <c r="F25" s="1715" t="s">
        <v>2898</v>
      </c>
      <c r="G25" s="1687">
        <v>2.8093224999999999</v>
      </c>
      <c r="H25" s="1716">
        <v>0.43240000000000001</v>
      </c>
      <c r="I25" s="1716">
        <f t="shared" si="0"/>
        <v>2.3769225</v>
      </c>
      <c r="J25" s="1717" t="s">
        <v>2897</v>
      </c>
      <c r="K25" s="1718">
        <v>0.1012</v>
      </c>
      <c r="L25" s="1718"/>
      <c r="M25" s="1717" t="s">
        <v>2896</v>
      </c>
      <c r="N25" s="1701"/>
      <c r="O25" s="1724"/>
    </row>
    <row r="26" spans="1:15" ht="75" x14ac:dyDescent="0.25">
      <c r="A26" s="1723"/>
      <c r="B26" s="1713">
        <v>23</v>
      </c>
      <c r="C26" s="1714" t="s">
        <v>2857</v>
      </c>
      <c r="D26" s="1714">
        <v>53071</v>
      </c>
      <c r="E26" s="1714">
        <v>21504081</v>
      </c>
      <c r="F26" s="1715" t="s">
        <v>2895</v>
      </c>
      <c r="G26" s="1687">
        <v>425.97326980000003</v>
      </c>
      <c r="H26" s="1716">
        <v>29.12</v>
      </c>
      <c r="I26" s="1716">
        <f t="shared" si="0"/>
        <v>396.85326980000002</v>
      </c>
      <c r="J26" s="1717" t="s">
        <v>2894</v>
      </c>
      <c r="K26" s="1718">
        <v>9.35E-2</v>
      </c>
      <c r="L26" s="1718"/>
      <c r="M26" s="1717" t="s">
        <v>2893</v>
      </c>
      <c r="N26" s="1727"/>
      <c r="O26" s="1724"/>
    </row>
    <row r="27" spans="1:15" ht="45" x14ac:dyDescent="0.25">
      <c r="A27" s="1723"/>
      <c r="B27" s="1713">
        <v>24</v>
      </c>
      <c r="C27" s="1714" t="s">
        <v>2857</v>
      </c>
      <c r="D27" s="1714">
        <v>53034</v>
      </c>
      <c r="E27" s="1728">
        <v>21524001</v>
      </c>
      <c r="F27" s="1729" t="s">
        <v>2892</v>
      </c>
      <c r="G27" s="1687">
        <v>8.3397207000000009</v>
      </c>
      <c r="H27" s="1716">
        <v>8.3397207000000009</v>
      </c>
      <c r="I27" s="1716">
        <f t="shared" si="0"/>
        <v>0</v>
      </c>
      <c r="J27" s="1730" t="s">
        <v>2891</v>
      </c>
      <c r="K27" s="1718">
        <v>0.1012</v>
      </c>
      <c r="L27" s="1718"/>
      <c r="M27" s="1717" t="s">
        <v>2890</v>
      </c>
      <c r="N27" s="1701"/>
      <c r="O27" s="1724"/>
    </row>
    <row r="28" spans="1:15" ht="90" x14ac:dyDescent="0.25">
      <c r="A28" s="1723"/>
      <c r="B28" s="1713">
        <v>25</v>
      </c>
      <c r="C28" s="1714" t="s">
        <v>2857</v>
      </c>
      <c r="D28" s="1714">
        <v>53074</v>
      </c>
      <c r="E28" s="1714">
        <v>21504090</v>
      </c>
      <c r="F28" s="1729" t="s">
        <v>2889</v>
      </c>
      <c r="G28" s="1687">
        <v>3.6241050000000001</v>
      </c>
      <c r="H28" s="1685">
        <v>0</v>
      </c>
      <c r="I28" s="1716">
        <f t="shared" si="0"/>
        <v>3.6241050000000001</v>
      </c>
      <c r="J28" s="1730" t="s">
        <v>2888</v>
      </c>
      <c r="K28" s="1718">
        <v>0.1004</v>
      </c>
      <c r="L28" s="1718"/>
      <c r="M28" s="1717" t="s">
        <v>2879</v>
      </c>
      <c r="N28" s="1701"/>
      <c r="O28" s="1724"/>
    </row>
    <row r="29" spans="1:15" ht="75" x14ac:dyDescent="0.25">
      <c r="A29" s="1723"/>
      <c r="B29" s="1713">
        <v>26</v>
      </c>
      <c r="C29" s="1714" t="s">
        <v>2857</v>
      </c>
      <c r="D29" s="1714">
        <v>53075</v>
      </c>
      <c r="E29" s="1714">
        <v>21504091</v>
      </c>
      <c r="F29" s="1729" t="s">
        <v>2887</v>
      </c>
      <c r="G29" s="1687">
        <v>1.7411399000000001</v>
      </c>
      <c r="H29" s="1685">
        <v>0</v>
      </c>
      <c r="I29" s="1716">
        <f t="shared" si="0"/>
        <v>1.7411399000000001</v>
      </c>
      <c r="J29" s="1730" t="s">
        <v>2886</v>
      </c>
      <c r="K29" s="1718">
        <v>9.8400000000000001E-2</v>
      </c>
      <c r="L29" s="1718"/>
      <c r="M29" s="1717" t="s">
        <v>2879</v>
      </c>
      <c r="N29" s="1701"/>
      <c r="O29" s="1724"/>
    </row>
    <row r="30" spans="1:15" ht="90" x14ac:dyDescent="0.25">
      <c r="A30" s="1723"/>
      <c r="B30" s="1713">
        <v>27</v>
      </c>
      <c r="C30" s="1714" t="s">
        <v>2857</v>
      </c>
      <c r="D30" s="1714">
        <v>53076</v>
      </c>
      <c r="E30" s="1714">
        <v>21504092</v>
      </c>
      <c r="F30" s="1731" t="s">
        <v>2885</v>
      </c>
      <c r="G30" s="1687">
        <v>4.4467920000000003</v>
      </c>
      <c r="H30" s="1685">
        <v>0</v>
      </c>
      <c r="I30" s="1716">
        <f t="shared" si="0"/>
        <v>4.4467920000000003</v>
      </c>
      <c r="J30" s="1730" t="s">
        <v>2884</v>
      </c>
      <c r="K30" s="1718">
        <v>9.5000000000000001E-2</v>
      </c>
      <c r="L30" s="1718"/>
      <c r="M30" s="1717" t="s">
        <v>2879</v>
      </c>
      <c r="N30" s="1701"/>
      <c r="O30" s="1724"/>
    </row>
    <row r="31" spans="1:15" ht="105" x14ac:dyDescent="0.25">
      <c r="A31" s="1723"/>
      <c r="B31" s="1713">
        <v>28</v>
      </c>
      <c r="C31" s="1714" t="s">
        <v>2857</v>
      </c>
      <c r="D31" s="1714">
        <v>53077</v>
      </c>
      <c r="E31" s="1714">
        <v>21504093</v>
      </c>
      <c r="F31" s="1729" t="s">
        <v>2883</v>
      </c>
      <c r="G31" s="1687">
        <v>10.65</v>
      </c>
      <c r="H31" s="1685">
        <v>0</v>
      </c>
      <c r="I31" s="1716">
        <f t="shared" si="0"/>
        <v>10.65</v>
      </c>
      <c r="J31" s="1732" t="s">
        <v>2882</v>
      </c>
      <c r="K31" s="1718">
        <v>9.8500000000000004E-2</v>
      </c>
      <c r="L31" s="1718"/>
      <c r="M31" s="1717" t="s">
        <v>2879</v>
      </c>
      <c r="N31" s="1701"/>
      <c r="O31" s="1724"/>
    </row>
    <row r="32" spans="1:15" ht="60" x14ac:dyDescent="0.25">
      <c r="A32" s="1723"/>
      <c r="B32" s="1713">
        <v>29</v>
      </c>
      <c r="C32" s="1714" t="s">
        <v>2857</v>
      </c>
      <c r="D32" s="1714">
        <v>53081</v>
      </c>
      <c r="E32" s="1714">
        <v>21504097</v>
      </c>
      <c r="F32" s="1729" t="s">
        <v>2881</v>
      </c>
      <c r="G32" s="1687">
        <v>5.2247079000000003</v>
      </c>
      <c r="H32" s="1685">
        <v>0</v>
      </c>
      <c r="I32" s="1716">
        <f t="shared" si="0"/>
        <v>5.2247079000000003</v>
      </c>
      <c r="J32" s="1732" t="s">
        <v>2880</v>
      </c>
      <c r="K32" s="1718">
        <v>0.1002</v>
      </c>
      <c r="L32" s="1718"/>
      <c r="M32" s="1717" t="s">
        <v>2879</v>
      </c>
      <c r="N32" s="1701"/>
      <c r="O32" s="1724"/>
    </row>
    <row r="33" spans="1:15" ht="105" x14ac:dyDescent="0.25">
      <c r="A33" s="1723"/>
      <c r="B33" s="1713">
        <v>30</v>
      </c>
      <c r="C33" s="1714" t="s">
        <v>2857</v>
      </c>
      <c r="D33" s="1714">
        <v>53073</v>
      </c>
      <c r="E33" s="1714">
        <v>21540002</v>
      </c>
      <c r="F33" s="1729" t="s">
        <v>2878</v>
      </c>
      <c r="G33" s="1687">
        <v>180</v>
      </c>
      <c r="H33" s="1685">
        <v>0</v>
      </c>
      <c r="I33" s="1716">
        <f t="shared" si="0"/>
        <v>180</v>
      </c>
      <c r="J33" s="1733" t="s">
        <v>2877</v>
      </c>
      <c r="K33" s="1718">
        <v>9.9000000000000005E-2</v>
      </c>
      <c r="L33" s="1718"/>
      <c r="M33" s="1717" t="s">
        <v>2876</v>
      </c>
      <c r="N33" s="1701"/>
      <c r="O33" s="1724"/>
    </row>
    <row r="34" spans="1:15" ht="90" x14ac:dyDescent="0.25">
      <c r="A34" s="1723" t="s">
        <v>2828</v>
      </c>
      <c r="B34" s="1713">
        <v>31</v>
      </c>
      <c r="C34" s="1714" t="s">
        <v>2857</v>
      </c>
      <c r="D34" s="1714">
        <v>53082</v>
      </c>
      <c r="E34" s="1714">
        <v>21504098</v>
      </c>
      <c r="F34" s="1729" t="s">
        <v>2875</v>
      </c>
      <c r="G34" s="1687">
        <v>52.018154899999999</v>
      </c>
      <c r="H34" s="1685">
        <v>0</v>
      </c>
      <c r="I34" s="1716">
        <f t="shared" si="0"/>
        <v>52.018154899999999</v>
      </c>
      <c r="J34" s="1732" t="s">
        <v>2873</v>
      </c>
      <c r="K34" s="1718">
        <v>9.98E-2</v>
      </c>
      <c r="L34" s="1718"/>
      <c r="M34" s="1734" t="s">
        <v>2868</v>
      </c>
      <c r="N34" s="1701"/>
      <c r="O34" s="1724"/>
    </row>
    <row r="35" spans="1:15" ht="90" x14ac:dyDescent="0.25">
      <c r="A35" s="1723" t="s">
        <v>2828</v>
      </c>
      <c r="B35" s="1713">
        <v>32</v>
      </c>
      <c r="C35" s="1714" t="s">
        <v>2857</v>
      </c>
      <c r="D35" s="1714">
        <v>53083</v>
      </c>
      <c r="E35" s="1714">
        <v>21504099</v>
      </c>
      <c r="F35" s="1729" t="s">
        <v>2874</v>
      </c>
      <c r="G35" s="1687">
        <v>45.52</v>
      </c>
      <c r="H35" s="1685">
        <v>0</v>
      </c>
      <c r="I35" s="1716">
        <f t="shared" si="0"/>
        <v>45.52</v>
      </c>
      <c r="J35" s="1732" t="s">
        <v>2873</v>
      </c>
      <c r="K35" s="1718">
        <v>0.1003</v>
      </c>
      <c r="L35" s="1718"/>
      <c r="M35" s="1734" t="s">
        <v>2868</v>
      </c>
      <c r="N35" s="1701"/>
      <c r="O35" s="1724"/>
    </row>
    <row r="36" spans="1:15" ht="60" x14ac:dyDescent="0.25">
      <c r="A36" s="1723"/>
      <c r="B36" s="1713">
        <v>33</v>
      </c>
      <c r="C36" s="1714" t="s">
        <v>2857</v>
      </c>
      <c r="D36" s="1714">
        <v>53084</v>
      </c>
      <c r="E36" s="1714">
        <v>21504087</v>
      </c>
      <c r="F36" s="1729" t="s">
        <v>2872</v>
      </c>
      <c r="G36" s="1687">
        <v>96.199848000000003</v>
      </c>
      <c r="H36" s="1685">
        <v>0</v>
      </c>
      <c r="I36" s="1716">
        <f t="shared" ref="I36:I67" si="1">G36-H36</f>
        <v>96.199848000000003</v>
      </c>
      <c r="J36" s="1732" t="s">
        <v>2871</v>
      </c>
      <c r="K36" s="1718">
        <v>0.1013</v>
      </c>
      <c r="L36" s="1718"/>
      <c r="M36" s="1734" t="s">
        <v>2868</v>
      </c>
      <c r="N36" s="1701"/>
      <c r="O36" s="1724"/>
    </row>
    <row r="37" spans="1:15" ht="60" x14ac:dyDescent="0.25">
      <c r="A37" s="1723"/>
      <c r="B37" s="1713">
        <v>34</v>
      </c>
      <c r="C37" s="1714" t="s">
        <v>2857</v>
      </c>
      <c r="D37" s="1714">
        <v>53085</v>
      </c>
      <c r="E37" s="1714">
        <v>21504089</v>
      </c>
      <c r="F37" s="1729" t="s">
        <v>2870</v>
      </c>
      <c r="G37" s="1687">
        <v>14.232575900000001</v>
      </c>
      <c r="H37" s="1685">
        <v>0</v>
      </c>
      <c r="I37" s="1716">
        <f t="shared" si="1"/>
        <v>14.232575900000001</v>
      </c>
      <c r="J37" s="1732" t="s">
        <v>2869</v>
      </c>
      <c r="K37" s="1718">
        <v>0.104</v>
      </c>
      <c r="L37" s="1735"/>
      <c r="M37" s="1734" t="s">
        <v>2868</v>
      </c>
      <c r="N37" s="1701"/>
      <c r="O37" s="1724"/>
    </row>
    <row r="38" spans="1:15" ht="60" x14ac:dyDescent="0.25">
      <c r="A38" s="1723"/>
      <c r="B38" s="1713">
        <v>35</v>
      </c>
      <c r="C38" s="1714" t="s">
        <v>2857</v>
      </c>
      <c r="D38" s="1714">
        <v>53596</v>
      </c>
      <c r="E38" s="1714">
        <v>21504101</v>
      </c>
      <c r="F38" s="1729" t="s">
        <v>2867</v>
      </c>
      <c r="G38" s="1687">
        <v>2.5758E-2</v>
      </c>
      <c r="H38" s="1685">
        <v>0</v>
      </c>
      <c r="I38" s="1716">
        <f t="shared" si="1"/>
        <v>2.5758E-2</v>
      </c>
      <c r="J38" s="1732" t="s">
        <v>2863</v>
      </c>
      <c r="K38" s="1718">
        <v>0.10249999999999999</v>
      </c>
      <c r="L38" s="1718"/>
      <c r="M38" s="1725" t="s">
        <v>2862</v>
      </c>
      <c r="N38" s="1701"/>
      <c r="O38" s="1724"/>
    </row>
    <row r="39" spans="1:15" ht="60" x14ac:dyDescent="0.25">
      <c r="A39" s="1723"/>
      <c r="B39" s="1713">
        <v>36</v>
      </c>
      <c r="C39" s="1714" t="s">
        <v>2857</v>
      </c>
      <c r="D39" s="1714">
        <v>53597</v>
      </c>
      <c r="E39" s="1714">
        <v>21504102</v>
      </c>
      <c r="F39" s="1729" t="s">
        <v>2866</v>
      </c>
      <c r="G39" s="1687">
        <v>2.66378E-2</v>
      </c>
      <c r="H39" s="1685">
        <v>0</v>
      </c>
      <c r="I39" s="1716">
        <f t="shared" si="1"/>
        <v>2.66378E-2</v>
      </c>
      <c r="J39" s="1732" t="s">
        <v>2863</v>
      </c>
      <c r="K39" s="1718">
        <v>0.10249999999999999</v>
      </c>
      <c r="L39" s="1718"/>
      <c r="M39" s="1725" t="s">
        <v>2862</v>
      </c>
      <c r="N39" s="1701"/>
      <c r="O39" s="1724"/>
    </row>
    <row r="40" spans="1:15" ht="60" x14ac:dyDescent="0.25">
      <c r="A40" s="1723"/>
      <c r="B40" s="1713">
        <v>37</v>
      </c>
      <c r="C40" s="1714" t="s">
        <v>2857</v>
      </c>
      <c r="D40" s="1714">
        <v>53598</v>
      </c>
      <c r="E40" s="1714">
        <v>21504104</v>
      </c>
      <c r="F40" s="1729" t="s">
        <v>2865</v>
      </c>
      <c r="G40" s="1687">
        <v>4.7787411000000004</v>
      </c>
      <c r="H40" s="1685">
        <v>0</v>
      </c>
      <c r="I40" s="1716">
        <f t="shared" si="1"/>
        <v>4.7787411000000004</v>
      </c>
      <c r="J40" s="1732" t="s">
        <v>2863</v>
      </c>
      <c r="K40" s="1718">
        <v>0.1011</v>
      </c>
      <c r="L40" s="1718"/>
      <c r="M40" s="1725" t="s">
        <v>2862</v>
      </c>
      <c r="N40" s="1701"/>
      <c r="O40" s="1724"/>
    </row>
    <row r="41" spans="1:15" ht="60" x14ac:dyDescent="0.25">
      <c r="A41" s="1736"/>
      <c r="B41" s="1713">
        <v>38</v>
      </c>
      <c r="C41" s="1714" t="s">
        <v>2857</v>
      </c>
      <c r="D41" s="1714">
        <v>53599</v>
      </c>
      <c r="E41" s="1714">
        <v>21504105</v>
      </c>
      <c r="F41" s="1729" t="s">
        <v>2864</v>
      </c>
      <c r="G41" s="1687">
        <v>30.5247727</v>
      </c>
      <c r="H41" s="1685">
        <v>0</v>
      </c>
      <c r="I41" s="1716">
        <f t="shared" si="1"/>
        <v>30.5247727</v>
      </c>
      <c r="J41" s="1732" t="s">
        <v>2863</v>
      </c>
      <c r="K41" s="1718">
        <v>0.10009999999999999</v>
      </c>
      <c r="L41" s="1718"/>
      <c r="M41" s="1725" t="s">
        <v>2862</v>
      </c>
      <c r="N41" s="1701"/>
      <c r="O41" s="1724"/>
    </row>
    <row r="42" spans="1:15" ht="45" x14ac:dyDescent="0.25">
      <c r="A42" s="1723"/>
      <c r="B42" s="1713">
        <v>39</v>
      </c>
      <c r="C42" s="1714" t="s">
        <v>2857</v>
      </c>
      <c r="D42" s="1714">
        <v>53072</v>
      </c>
      <c r="E42" s="1714">
        <v>21571003</v>
      </c>
      <c r="F42" s="1729" t="s">
        <v>2470</v>
      </c>
      <c r="G42" s="1684">
        <v>1703.2922977000001</v>
      </c>
      <c r="H42" s="1716">
        <v>183.85319999999999</v>
      </c>
      <c r="I42" s="1716">
        <f t="shared" si="1"/>
        <v>1519.4390977</v>
      </c>
      <c r="J42" s="1717" t="s">
        <v>2861</v>
      </c>
      <c r="K42" s="1718">
        <v>9.7500000000000003E-2</v>
      </c>
      <c r="L42" s="1718"/>
      <c r="M42" s="1717" t="s">
        <v>2860</v>
      </c>
      <c r="N42" s="1701"/>
      <c r="O42" s="1724"/>
    </row>
    <row r="43" spans="1:15" ht="39" x14ac:dyDescent="0.25">
      <c r="A43" s="1723"/>
      <c r="B43" s="1713">
        <v>40</v>
      </c>
      <c r="C43" s="1714" t="s">
        <v>2857</v>
      </c>
      <c r="D43" s="1714">
        <v>53595</v>
      </c>
      <c r="E43" s="1714">
        <v>21571004</v>
      </c>
      <c r="F43" s="1715" t="s">
        <v>2470</v>
      </c>
      <c r="G43" s="1684">
        <v>1799.9999909999999</v>
      </c>
      <c r="H43" s="1716">
        <v>0</v>
      </c>
      <c r="I43" s="1716">
        <f t="shared" si="1"/>
        <v>1799.9999909999999</v>
      </c>
      <c r="J43" s="1737" t="s">
        <v>2859</v>
      </c>
      <c r="K43" s="1718">
        <v>9.7500000000000003E-2</v>
      </c>
      <c r="L43" s="1718"/>
      <c r="M43" s="1725" t="s">
        <v>2476</v>
      </c>
      <c r="N43" s="1701"/>
      <c r="O43" s="1724"/>
    </row>
    <row r="44" spans="1:15" ht="51.75" x14ac:dyDescent="0.25">
      <c r="A44" s="1723"/>
      <c r="B44" s="1713">
        <v>41</v>
      </c>
      <c r="C44" s="1714" t="s">
        <v>2857</v>
      </c>
      <c r="D44" s="1714">
        <v>53600</v>
      </c>
      <c r="E44" s="1714">
        <v>21571005</v>
      </c>
      <c r="F44" s="1715" t="s">
        <v>2470</v>
      </c>
      <c r="G44" s="1684">
        <v>500</v>
      </c>
      <c r="H44" s="1716">
        <v>0</v>
      </c>
      <c r="I44" s="1716">
        <f t="shared" si="1"/>
        <v>500</v>
      </c>
      <c r="J44" s="1737" t="s">
        <v>2858</v>
      </c>
      <c r="K44" s="1718">
        <v>9.5000000000000001E-2</v>
      </c>
      <c r="L44" s="1718"/>
      <c r="M44" s="1725" t="s">
        <v>2476</v>
      </c>
      <c r="N44" s="1701"/>
      <c r="O44" s="1724"/>
    </row>
    <row r="45" spans="1:15" ht="51.75" x14ac:dyDescent="0.25">
      <c r="A45" s="1723" t="s">
        <v>2828</v>
      </c>
      <c r="B45" s="1713">
        <v>42</v>
      </c>
      <c r="C45" s="1714" t="s">
        <v>2857</v>
      </c>
      <c r="D45" s="1714">
        <v>53601</v>
      </c>
      <c r="E45" s="1714">
        <v>21571006</v>
      </c>
      <c r="F45" s="1715" t="s">
        <v>2470</v>
      </c>
      <c r="G45" s="1684">
        <v>449</v>
      </c>
      <c r="H45" s="1716">
        <v>0</v>
      </c>
      <c r="I45" s="1716">
        <f t="shared" si="1"/>
        <v>449</v>
      </c>
      <c r="J45" s="1737" t="s">
        <v>2856</v>
      </c>
      <c r="K45" s="1718">
        <v>9.69E-2</v>
      </c>
      <c r="L45" s="1718"/>
      <c r="M45" s="1725" t="s">
        <v>2476</v>
      </c>
      <c r="N45" s="1701"/>
      <c r="O45" s="1724"/>
    </row>
    <row r="46" spans="1:15" ht="120" x14ac:dyDescent="0.25">
      <c r="A46" s="1723"/>
      <c r="B46" s="1713">
        <v>43</v>
      </c>
      <c r="C46" s="1714" t="s">
        <v>2479</v>
      </c>
      <c r="D46" s="1714">
        <v>53301</v>
      </c>
      <c r="E46" s="1726" t="s">
        <v>2855</v>
      </c>
      <c r="F46" s="1717" t="s">
        <v>2854</v>
      </c>
      <c r="G46" s="1684">
        <v>1292.9743351</v>
      </c>
      <c r="H46" s="1716">
        <v>430.99080000000004</v>
      </c>
      <c r="I46" s="1716">
        <f t="shared" si="1"/>
        <v>861.98353509999993</v>
      </c>
      <c r="J46" s="1717" t="s">
        <v>2853</v>
      </c>
      <c r="K46" s="1718">
        <v>0.1013</v>
      </c>
      <c r="L46" s="1718"/>
      <c r="M46" s="1717" t="s">
        <v>2837</v>
      </c>
      <c r="N46" s="1738"/>
      <c r="O46" s="1724"/>
    </row>
    <row r="47" spans="1:15" ht="120" x14ac:dyDescent="0.25">
      <c r="A47" s="1723"/>
      <c r="B47" s="1713">
        <v>44</v>
      </c>
      <c r="C47" s="1714" t="s">
        <v>2479</v>
      </c>
      <c r="D47" s="1726" t="s">
        <v>2852</v>
      </c>
      <c r="E47" s="1726" t="s">
        <v>2851</v>
      </c>
      <c r="F47" s="1726" t="s">
        <v>2850</v>
      </c>
      <c r="G47" s="1684">
        <v>2855.7881269999998</v>
      </c>
      <c r="H47" s="1716">
        <v>543.96</v>
      </c>
      <c r="I47" s="1716">
        <f t="shared" si="1"/>
        <v>2311.8281269999998</v>
      </c>
      <c r="J47" s="1717" t="s">
        <v>2849</v>
      </c>
      <c r="K47" s="1718">
        <v>9.6500000000000002E-2</v>
      </c>
      <c r="L47" s="1718"/>
      <c r="M47" s="1717" t="s">
        <v>2837</v>
      </c>
      <c r="N47" s="1738"/>
      <c r="O47" s="1724"/>
    </row>
    <row r="48" spans="1:15" ht="120" x14ac:dyDescent="0.25">
      <c r="A48" s="1723"/>
      <c r="B48" s="1713">
        <v>45</v>
      </c>
      <c r="C48" s="1714" t="s">
        <v>2479</v>
      </c>
      <c r="D48" s="1714">
        <v>53303</v>
      </c>
      <c r="E48" s="1726" t="s">
        <v>2848</v>
      </c>
      <c r="F48" s="1726" t="s">
        <v>2847</v>
      </c>
      <c r="G48" s="1684">
        <v>684.71516659999998</v>
      </c>
      <c r="H48" s="1716">
        <v>136.92000000000002</v>
      </c>
      <c r="I48" s="1716">
        <f t="shared" si="1"/>
        <v>547.7951665999999</v>
      </c>
      <c r="J48" s="1717" t="s">
        <v>2846</v>
      </c>
      <c r="K48" s="1718">
        <v>9.9199999999999997E-2</v>
      </c>
      <c r="L48" s="1718"/>
      <c r="M48" s="1717" t="s">
        <v>2837</v>
      </c>
      <c r="N48" s="1738"/>
    </row>
    <row r="49" spans="1:14" ht="120" x14ac:dyDescent="0.25">
      <c r="A49" s="1723"/>
      <c r="B49" s="1713">
        <v>46</v>
      </c>
      <c r="C49" s="1714" t="s">
        <v>2479</v>
      </c>
      <c r="D49" s="1714">
        <v>53313</v>
      </c>
      <c r="E49" s="1726">
        <v>12610831</v>
      </c>
      <c r="F49" s="1726" t="s">
        <v>2845</v>
      </c>
      <c r="G49" s="1684">
        <v>518.9473686</v>
      </c>
      <c r="H49" s="1716">
        <v>214.7364</v>
      </c>
      <c r="I49" s="1716">
        <f t="shared" si="1"/>
        <v>304.2109686</v>
      </c>
      <c r="J49" s="1717" t="s">
        <v>2844</v>
      </c>
      <c r="K49" s="1718">
        <v>9.6500000000000002E-2</v>
      </c>
      <c r="L49" s="1718"/>
      <c r="M49" s="1717" t="s">
        <v>2837</v>
      </c>
      <c r="N49" s="1738"/>
    </row>
    <row r="50" spans="1:14" ht="120" x14ac:dyDescent="0.25">
      <c r="A50" s="1723"/>
      <c r="B50" s="1713">
        <v>47</v>
      </c>
      <c r="C50" s="1714" t="s">
        <v>2479</v>
      </c>
      <c r="D50" s="1714">
        <v>53314</v>
      </c>
      <c r="E50" s="1726">
        <v>12528</v>
      </c>
      <c r="F50" s="1726" t="s">
        <v>2843</v>
      </c>
      <c r="G50" s="1684">
        <v>75.732340600000001</v>
      </c>
      <c r="H50" s="1716">
        <v>13.169999999999998</v>
      </c>
      <c r="I50" s="1716">
        <f t="shared" si="1"/>
        <v>62.562340599999999</v>
      </c>
      <c r="J50" s="1717" t="s">
        <v>2842</v>
      </c>
      <c r="K50" s="1718">
        <v>9.7799999999999998E-2</v>
      </c>
      <c r="L50" s="1718"/>
      <c r="M50" s="1717" t="s">
        <v>2841</v>
      </c>
      <c r="N50" s="1738"/>
    </row>
    <row r="51" spans="1:14" ht="60" x14ac:dyDescent="0.25">
      <c r="A51" s="1723"/>
      <c r="B51" s="1713">
        <v>48</v>
      </c>
      <c r="C51" s="1714" t="s">
        <v>2479</v>
      </c>
      <c r="D51" s="1714">
        <v>53380</v>
      </c>
      <c r="E51" s="1726" t="s">
        <v>2840</v>
      </c>
      <c r="F51" s="1726" t="s">
        <v>2839</v>
      </c>
      <c r="G51" s="1684">
        <v>3353.6356031</v>
      </c>
      <c r="H51" s="1716">
        <v>0</v>
      </c>
      <c r="I51" s="1716">
        <f t="shared" si="1"/>
        <v>3353.6356031</v>
      </c>
      <c r="J51" s="1717" t="s">
        <v>2838</v>
      </c>
      <c r="K51" s="1718">
        <v>9.1999999999999998E-2</v>
      </c>
      <c r="L51" s="1718"/>
      <c r="M51" s="1725" t="s">
        <v>2837</v>
      </c>
      <c r="N51" s="1738"/>
    </row>
    <row r="52" spans="1:14" ht="90" x14ac:dyDescent="0.25">
      <c r="A52" s="1723"/>
      <c r="B52" s="1713">
        <v>49</v>
      </c>
      <c r="C52" s="1714" t="s">
        <v>2479</v>
      </c>
      <c r="D52" s="1714">
        <v>53559</v>
      </c>
      <c r="E52" s="1726" t="s">
        <v>2836</v>
      </c>
      <c r="F52" s="1726" t="s">
        <v>2835</v>
      </c>
      <c r="G52" s="1684">
        <v>212.26280700000001</v>
      </c>
      <c r="H52" s="1716">
        <v>0</v>
      </c>
      <c r="I52" s="1716">
        <f t="shared" si="1"/>
        <v>212.26280700000001</v>
      </c>
      <c r="J52" s="1717" t="s">
        <v>2834</v>
      </c>
      <c r="K52" s="1718">
        <v>0.1099</v>
      </c>
      <c r="L52" s="1718"/>
      <c r="M52" s="1725" t="s">
        <v>2833</v>
      </c>
      <c r="N52" s="1738"/>
    </row>
    <row r="53" spans="1:14" ht="75" x14ac:dyDescent="0.25">
      <c r="A53" s="1723"/>
      <c r="B53" s="1713">
        <v>50</v>
      </c>
      <c r="C53" s="1714" t="s">
        <v>2479</v>
      </c>
      <c r="D53" s="1714">
        <v>53593</v>
      </c>
      <c r="E53" s="1726" t="s">
        <v>2832</v>
      </c>
      <c r="F53" s="1726" t="s">
        <v>2831</v>
      </c>
      <c r="G53" s="1684">
        <v>0.17255000000000001</v>
      </c>
      <c r="H53" s="1716">
        <v>0</v>
      </c>
      <c r="I53" s="1716">
        <f t="shared" si="1"/>
        <v>0.17255000000000001</v>
      </c>
      <c r="J53" s="1717" t="s">
        <v>2830</v>
      </c>
      <c r="K53" s="1718">
        <v>0.114</v>
      </c>
      <c r="L53" s="1718"/>
      <c r="M53" s="1725" t="s">
        <v>2829</v>
      </c>
      <c r="N53" s="1738"/>
    </row>
    <row r="54" spans="1:14" ht="45" x14ac:dyDescent="0.25">
      <c r="A54" s="1723" t="s">
        <v>2828</v>
      </c>
      <c r="B54" s="1713">
        <v>51</v>
      </c>
      <c r="C54" s="1714" t="s">
        <v>2479</v>
      </c>
      <c r="D54" s="1714">
        <v>53423</v>
      </c>
      <c r="E54" s="1726" t="s">
        <v>2827</v>
      </c>
      <c r="F54" s="1726" t="s">
        <v>2826</v>
      </c>
      <c r="G54" s="1684">
        <v>355.7161997</v>
      </c>
      <c r="H54" s="1716">
        <v>0</v>
      </c>
      <c r="I54" s="1716">
        <f t="shared" si="1"/>
        <v>355.7161997</v>
      </c>
      <c r="J54" s="1717" t="s">
        <v>2825</v>
      </c>
      <c r="K54" s="1718">
        <v>0.1012</v>
      </c>
      <c r="L54" s="1718"/>
      <c r="M54" s="1725" t="s">
        <v>2824</v>
      </c>
      <c r="N54" s="1738"/>
    </row>
    <row r="55" spans="1:14" ht="45" x14ac:dyDescent="0.25">
      <c r="A55" s="1723"/>
      <c r="B55" s="1713">
        <v>52</v>
      </c>
      <c r="C55" s="1714" t="s">
        <v>2479</v>
      </c>
      <c r="D55" s="1714">
        <v>53304</v>
      </c>
      <c r="E55" s="1714" t="s">
        <v>2823</v>
      </c>
      <c r="F55" s="1715" t="s">
        <v>2822</v>
      </c>
      <c r="G55" s="1684">
        <v>4.1258382999999998</v>
      </c>
      <c r="H55" s="1716">
        <v>1.0314596</v>
      </c>
      <c r="I55" s="1716">
        <f t="shared" si="1"/>
        <v>3.0943787</v>
      </c>
      <c r="J55" s="1717" t="s">
        <v>2821</v>
      </c>
      <c r="K55" s="1718">
        <v>0.10630000000000001</v>
      </c>
      <c r="L55" s="1718"/>
      <c r="M55" s="1725" t="s">
        <v>2485</v>
      </c>
      <c r="N55" s="1738"/>
    </row>
    <row r="56" spans="1:14" ht="45" x14ac:dyDescent="0.25">
      <c r="A56" s="1723"/>
      <c r="B56" s="1713">
        <v>53</v>
      </c>
      <c r="C56" s="1714" t="s">
        <v>2479</v>
      </c>
      <c r="D56" s="1714">
        <v>53305</v>
      </c>
      <c r="E56" s="1714" t="s">
        <v>2820</v>
      </c>
      <c r="F56" s="1715" t="s">
        <v>2819</v>
      </c>
      <c r="G56" s="1684">
        <v>0</v>
      </c>
      <c r="H56" s="1716">
        <v>0</v>
      </c>
      <c r="I56" s="1716">
        <f t="shared" si="1"/>
        <v>0</v>
      </c>
      <c r="J56" s="1717" t="s">
        <v>2818</v>
      </c>
      <c r="K56" s="1718"/>
      <c r="L56" s="1718"/>
      <c r="M56" s="1725" t="s">
        <v>2485</v>
      </c>
      <c r="N56" s="1738"/>
    </row>
    <row r="57" spans="1:14" ht="102.75" customHeight="1" x14ac:dyDescent="0.25">
      <c r="A57" s="1723"/>
      <c r="B57" s="1713">
        <v>54</v>
      </c>
      <c r="C57" s="1714" t="s">
        <v>2479</v>
      </c>
      <c r="D57" s="1714">
        <v>53315</v>
      </c>
      <c r="E57" s="1714" t="s">
        <v>2817</v>
      </c>
      <c r="F57" s="1715" t="s">
        <v>2816</v>
      </c>
      <c r="G57" s="1684">
        <v>9.7758293999999992</v>
      </c>
      <c r="H57" s="1716">
        <v>1.5039735999999999</v>
      </c>
      <c r="I57" s="1716">
        <f t="shared" si="1"/>
        <v>8.2718557999999991</v>
      </c>
      <c r="J57" s="1717" t="s">
        <v>2815</v>
      </c>
      <c r="K57" s="1718">
        <v>9.8599999999999993E-2</v>
      </c>
      <c r="L57" s="1718"/>
      <c r="M57" s="1725" t="s">
        <v>2485</v>
      </c>
      <c r="N57" s="1738"/>
    </row>
    <row r="58" spans="1:14" ht="120" x14ac:dyDescent="0.25">
      <c r="A58" s="1723"/>
      <c r="B58" s="1713">
        <v>55</v>
      </c>
      <c r="C58" s="1714" t="s">
        <v>2479</v>
      </c>
      <c r="D58" s="1714">
        <v>53316</v>
      </c>
      <c r="E58" s="1714" t="s">
        <v>2814</v>
      </c>
      <c r="F58" s="1715" t="s">
        <v>2813</v>
      </c>
      <c r="G58" s="1684">
        <v>11.407545499999999</v>
      </c>
      <c r="H58" s="1716">
        <v>1.5210060000000001</v>
      </c>
      <c r="I58" s="1716">
        <f t="shared" si="1"/>
        <v>9.8865394999999996</v>
      </c>
      <c r="J58" s="1717" t="s">
        <v>2812</v>
      </c>
      <c r="K58" s="1718">
        <v>9.8599999999999993E-2</v>
      </c>
      <c r="L58" s="1718"/>
      <c r="M58" s="1725" t="s">
        <v>2485</v>
      </c>
      <c r="N58" s="1738"/>
    </row>
    <row r="59" spans="1:14" ht="87" customHeight="1" x14ac:dyDescent="0.25">
      <c r="A59" s="1723"/>
      <c r="B59" s="1713">
        <v>56</v>
      </c>
      <c r="C59" s="1714" t="s">
        <v>2479</v>
      </c>
      <c r="D59" s="1714">
        <v>53317</v>
      </c>
      <c r="E59" s="1714" t="s">
        <v>2811</v>
      </c>
      <c r="F59" s="1715" t="s">
        <v>2810</v>
      </c>
      <c r="G59" s="1684">
        <v>6.6921265999999999</v>
      </c>
      <c r="H59" s="1716">
        <v>1.1638481119999999</v>
      </c>
      <c r="I59" s="1716">
        <f t="shared" si="1"/>
        <v>5.5282784879999998</v>
      </c>
      <c r="J59" s="1717" t="s">
        <v>2809</v>
      </c>
      <c r="K59" s="1718">
        <v>9.8599999999999993E-2</v>
      </c>
      <c r="L59" s="1718"/>
      <c r="M59" s="1725" t="s">
        <v>2485</v>
      </c>
      <c r="N59" s="1738"/>
    </row>
    <row r="60" spans="1:14" ht="75" x14ac:dyDescent="0.25">
      <c r="A60" s="1723"/>
      <c r="B60" s="1713">
        <v>57</v>
      </c>
      <c r="C60" s="1714" t="s">
        <v>2479</v>
      </c>
      <c r="D60" s="1714">
        <v>53318</v>
      </c>
      <c r="E60" s="1714" t="s">
        <v>2808</v>
      </c>
      <c r="F60" s="1715" t="s">
        <v>2807</v>
      </c>
      <c r="G60" s="1684">
        <v>6.9048667000000004</v>
      </c>
      <c r="H60" s="1716">
        <v>1.0229432000000001</v>
      </c>
      <c r="I60" s="1716">
        <f t="shared" si="1"/>
        <v>5.8819235000000001</v>
      </c>
      <c r="J60" s="1717" t="s">
        <v>2795</v>
      </c>
      <c r="K60" s="1718">
        <v>9.8599999999999993E-2</v>
      </c>
      <c r="L60" s="1718"/>
      <c r="M60" s="1725" t="s">
        <v>2485</v>
      </c>
      <c r="N60" s="1738"/>
    </row>
    <row r="61" spans="1:14" ht="165" x14ac:dyDescent="0.25">
      <c r="A61" s="1723"/>
      <c r="B61" s="1713">
        <v>58</v>
      </c>
      <c r="C61" s="1714" t="s">
        <v>2479</v>
      </c>
      <c r="D61" s="1714">
        <v>53320</v>
      </c>
      <c r="E61" s="1714" t="s">
        <v>2806</v>
      </c>
      <c r="F61" s="1715" t="s">
        <v>2805</v>
      </c>
      <c r="G61" s="1684">
        <v>6.9585178000000001</v>
      </c>
      <c r="H61" s="1716">
        <v>1.21</v>
      </c>
      <c r="I61" s="1716">
        <f t="shared" si="1"/>
        <v>5.7485178000000001</v>
      </c>
      <c r="J61" s="1717" t="s">
        <v>2804</v>
      </c>
      <c r="K61" s="1718">
        <v>9.8599999999999993E-2</v>
      </c>
      <c r="L61" s="1718"/>
      <c r="M61" s="1725" t="s">
        <v>2485</v>
      </c>
      <c r="N61" s="1738"/>
    </row>
    <row r="62" spans="1:14" ht="75" x14ac:dyDescent="0.25">
      <c r="A62" s="1723"/>
      <c r="B62" s="1713">
        <v>59</v>
      </c>
      <c r="C62" s="1714" t="s">
        <v>2479</v>
      </c>
      <c r="D62" s="1714">
        <v>53321</v>
      </c>
      <c r="E62" s="1714" t="s">
        <v>2803</v>
      </c>
      <c r="F62" s="1715" t="s">
        <v>2802</v>
      </c>
      <c r="G62" s="1684">
        <v>7.4098066999999999</v>
      </c>
      <c r="H62" s="1716">
        <v>1.2349680000000001</v>
      </c>
      <c r="I62" s="1716">
        <f t="shared" si="1"/>
        <v>6.1748386999999996</v>
      </c>
      <c r="J62" s="1717" t="s">
        <v>2801</v>
      </c>
      <c r="K62" s="1718">
        <v>9.8599999999999993E-2</v>
      </c>
      <c r="L62" s="1718"/>
      <c r="M62" s="1725" t="s">
        <v>2485</v>
      </c>
      <c r="N62" s="1738"/>
    </row>
    <row r="63" spans="1:14" ht="120" x14ac:dyDescent="0.25">
      <c r="A63" s="1723"/>
      <c r="B63" s="1713">
        <v>60</v>
      </c>
      <c r="C63" s="1714" t="s">
        <v>2479</v>
      </c>
      <c r="D63" s="1714">
        <v>53322</v>
      </c>
      <c r="E63" s="1714" t="s">
        <v>2800</v>
      </c>
      <c r="F63" s="1715" t="s">
        <v>2799</v>
      </c>
      <c r="G63" s="1684">
        <v>22.9069626</v>
      </c>
      <c r="H63" s="1716">
        <v>3.8178272</v>
      </c>
      <c r="I63" s="1716">
        <f t="shared" si="1"/>
        <v>19.0891354</v>
      </c>
      <c r="J63" s="1717" t="s">
        <v>2798</v>
      </c>
      <c r="K63" s="1718">
        <v>9.8599999999999993E-2</v>
      </c>
      <c r="L63" s="1718"/>
      <c r="M63" s="1725" t="s">
        <v>2485</v>
      </c>
      <c r="N63" s="1738"/>
    </row>
    <row r="64" spans="1:14" ht="75" x14ac:dyDescent="0.25">
      <c r="A64" s="1723"/>
      <c r="B64" s="1713">
        <v>61</v>
      </c>
      <c r="C64" s="1714" t="s">
        <v>2479</v>
      </c>
      <c r="D64" s="1714">
        <v>53323</v>
      </c>
      <c r="E64" s="1714" t="s">
        <v>2797</v>
      </c>
      <c r="F64" s="1715" t="s">
        <v>2796</v>
      </c>
      <c r="G64" s="1684">
        <v>5.9203757000000001</v>
      </c>
      <c r="H64" s="1716">
        <v>1.0296000000000001</v>
      </c>
      <c r="I64" s="1716">
        <f t="shared" si="1"/>
        <v>4.8907756999999998</v>
      </c>
      <c r="J64" s="1717" t="s">
        <v>2795</v>
      </c>
      <c r="K64" s="1718">
        <v>9.8599999999999993E-2</v>
      </c>
      <c r="L64" s="1718"/>
      <c r="M64" s="1725" t="s">
        <v>2485</v>
      </c>
      <c r="N64" s="1738"/>
    </row>
    <row r="65" spans="1:14" ht="75" x14ac:dyDescent="0.25">
      <c r="A65" s="1723"/>
      <c r="B65" s="1713">
        <v>62</v>
      </c>
      <c r="C65" s="1714" t="s">
        <v>2479</v>
      </c>
      <c r="D65" s="1714">
        <v>53324</v>
      </c>
      <c r="E65" s="1714" t="s">
        <v>2794</v>
      </c>
      <c r="F65" s="1715" t="s">
        <v>2793</v>
      </c>
      <c r="G65" s="1684">
        <v>8.5747157999999999</v>
      </c>
      <c r="H65" s="1716">
        <v>1.4912000000000001</v>
      </c>
      <c r="I65" s="1716">
        <f t="shared" si="1"/>
        <v>7.0835157999999998</v>
      </c>
      <c r="J65" s="1717" t="s">
        <v>2748</v>
      </c>
      <c r="K65" s="1718">
        <v>9.8599999999999993E-2</v>
      </c>
      <c r="L65" s="1718"/>
      <c r="M65" s="1725" t="s">
        <v>2485</v>
      </c>
      <c r="N65" s="1738"/>
    </row>
    <row r="66" spans="1:14" ht="75" x14ac:dyDescent="0.25">
      <c r="A66" s="1723"/>
      <c r="B66" s="1713">
        <v>63</v>
      </c>
      <c r="C66" s="1714" t="s">
        <v>2479</v>
      </c>
      <c r="D66" s="1714">
        <v>53325</v>
      </c>
      <c r="E66" s="1714" t="s">
        <v>2792</v>
      </c>
      <c r="F66" s="1715" t="s">
        <v>2791</v>
      </c>
      <c r="G66" s="1684">
        <v>8.5249830000000006</v>
      </c>
      <c r="H66" s="1716">
        <v>0</v>
      </c>
      <c r="I66" s="1716">
        <f t="shared" si="1"/>
        <v>8.5249830000000006</v>
      </c>
      <c r="J66" s="1717" t="s">
        <v>2790</v>
      </c>
      <c r="K66" s="1718">
        <v>9.7799999999999998E-2</v>
      </c>
      <c r="L66" s="1718"/>
      <c r="M66" s="1725" t="s">
        <v>2485</v>
      </c>
      <c r="N66" s="1738"/>
    </row>
    <row r="67" spans="1:14" ht="60" x14ac:dyDescent="0.25">
      <c r="A67" s="1723"/>
      <c r="B67" s="1713">
        <v>64</v>
      </c>
      <c r="C67" s="1714" t="s">
        <v>2479</v>
      </c>
      <c r="D67" s="1714">
        <v>53326</v>
      </c>
      <c r="E67" s="1714" t="s">
        <v>2789</v>
      </c>
      <c r="F67" s="1715" t="s">
        <v>2788</v>
      </c>
      <c r="G67" s="1684">
        <v>10.569375000000001</v>
      </c>
      <c r="H67" s="1716">
        <v>1.6908000000000001</v>
      </c>
      <c r="I67" s="1716">
        <f t="shared" si="1"/>
        <v>8.8785750000000014</v>
      </c>
      <c r="J67" s="1717" t="s">
        <v>2787</v>
      </c>
      <c r="K67" s="1718">
        <v>9.8599999999999993E-2</v>
      </c>
      <c r="L67" s="1718"/>
      <c r="M67" s="1725" t="s">
        <v>2485</v>
      </c>
      <c r="N67" s="1738"/>
    </row>
    <row r="68" spans="1:14" ht="60" x14ac:dyDescent="0.25">
      <c r="A68" s="1723"/>
      <c r="B68" s="1713">
        <v>65</v>
      </c>
      <c r="C68" s="1714" t="s">
        <v>2479</v>
      </c>
      <c r="D68" s="1714">
        <v>53327</v>
      </c>
      <c r="E68" s="1714" t="s">
        <v>2786</v>
      </c>
      <c r="F68" s="1715" t="s">
        <v>2785</v>
      </c>
      <c r="G68" s="1684">
        <v>11.216977099999999</v>
      </c>
      <c r="H68" s="1716">
        <v>1.8692</v>
      </c>
      <c r="I68" s="1716">
        <f t="shared" ref="I68:I99" si="2">G68-H68</f>
        <v>9.3477771000000001</v>
      </c>
      <c r="J68" s="1717" t="s">
        <v>2784</v>
      </c>
      <c r="K68" s="1718">
        <v>9.8599999999999993E-2</v>
      </c>
      <c r="L68" s="1718"/>
      <c r="M68" s="1725" t="s">
        <v>2485</v>
      </c>
      <c r="N68" s="1738"/>
    </row>
    <row r="69" spans="1:14" ht="75" x14ac:dyDescent="0.25">
      <c r="A69" s="1723"/>
      <c r="B69" s="1713">
        <v>66</v>
      </c>
      <c r="C69" s="1714" t="s">
        <v>2479</v>
      </c>
      <c r="D69" s="1714">
        <v>53328</v>
      </c>
      <c r="E69" s="1714" t="s">
        <v>2783</v>
      </c>
      <c r="F69" s="1715" t="s">
        <v>2782</v>
      </c>
      <c r="G69" s="1684">
        <v>9.3786509000000002</v>
      </c>
      <c r="H69" s="1716">
        <v>1.3892</v>
      </c>
      <c r="I69" s="1716">
        <f t="shared" si="2"/>
        <v>7.9894509000000005</v>
      </c>
      <c r="J69" s="1717" t="s">
        <v>2781</v>
      </c>
      <c r="K69" s="1718">
        <v>9.8599999999999993E-2</v>
      </c>
      <c r="L69" s="1718"/>
      <c r="M69" s="1725" t="s">
        <v>2485</v>
      </c>
      <c r="N69" s="1738"/>
    </row>
    <row r="70" spans="1:14" ht="90" x14ac:dyDescent="0.25">
      <c r="A70" s="1723"/>
      <c r="B70" s="1713">
        <v>67</v>
      </c>
      <c r="C70" s="1714" t="s">
        <v>2479</v>
      </c>
      <c r="D70" s="1714">
        <v>53329</v>
      </c>
      <c r="E70" s="1714" t="s">
        <v>2780</v>
      </c>
      <c r="F70" s="1715" t="s">
        <v>2779</v>
      </c>
      <c r="G70" s="1684">
        <v>8.4183070000000004</v>
      </c>
      <c r="H70" s="1716">
        <v>1.4028</v>
      </c>
      <c r="I70" s="1716">
        <f t="shared" si="2"/>
        <v>7.0155070000000004</v>
      </c>
      <c r="J70" s="1717" t="s">
        <v>2778</v>
      </c>
      <c r="K70" s="1718">
        <v>9.8599999999999993E-2</v>
      </c>
      <c r="L70" s="1718"/>
      <c r="M70" s="1725" t="s">
        <v>2485</v>
      </c>
      <c r="N70" s="1738"/>
    </row>
    <row r="71" spans="1:14" ht="75" x14ac:dyDescent="0.25">
      <c r="A71" s="1723"/>
      <c r="B71" s="1713">
        <v>68</v>
      </c>
      <c r="C71" s="1714" t="s">
        <v>2479</v>
      </c>
      <c r="D71" s="1714">
        <v>53330</v>
      </c>
      <c r="E71" s="1714" t="s">
        <v>2777</v>
      </c>
      <c r="F71" s="1715" t="s">
        <v>2776</v>
      </c>
      <c r="G71" s="1684">
        <v>19.602240399999999</v>
      </c>
      <c r="H71" s="1716">
        <v>3.5640000000000001</v>
      </c>
      <c r="I71" s="1716">
        <f t="shared" si="2"/>
        <v>16.038240399999999</v>
      </c>
      <c r="J71" s="1717" t="s">
        <v>2775</v>
      </c>
      <c r="K71" s="1718">
        <v>9.8599999999999993E-2</v>
      </c>
      <c r="L71" s="1718"/>
      <c r="M71" s="1725" t="s">
        <v>2485</v>
      </c>
      <c r="N71" s="1738"/>
    </row>
    <row r="72" spans="1:14" ht="75" x14ac:dyDescent="0.25">
      <c r="A72" s="1723"/>
      <c r="B72" s="1713">
        <v>69</v>
      </c>
      <c r="C72" s="1714" t="s">
        <v>2479</v>
      </c>
      <c r="D72" s="1714">
        <v>53331</v>
      </c>
      <c r="E72" s="1714" t="s">
        <v>2774</v>
      </c>
      <c r="F72" s="1715" t="s">
        <v>2773</v>
      </c>
      <c r="G72" s="1684">
        <v>2.9195060000000002</v>
      </c>
      <c r="H72" s="1716">
        <v>0.50760000000000005</v>
      </c>
      <c r="I72" s="1716">
        <f t="shared" si="2"/>
        <v>2.4119060000000001</v>
      </c>
      <c r="J72" s="1717" t="s">
        <v>2772</v>
      </c>
      <c r="K72" s="1718">
        <v>9.8599999999999993E-2</v>
      </c>
      <c r="L72" s="1718"/>
      <c r="M72" s="1725" t="s">
        <v>2485</v>
      </c>
      <c r="N72" s="1738"/>
    </row>
    <row r="73" spans="1:14" ht="75" x14ac:dyDescent="0.25">
      <c r="A73" s="1723"/>
      <c r="B73" s="1713">
        <v>70</v>
      </c>
      <c r="C73" s="1714" t="s">
        <v>2479</v>
      </c>
      <c r="D73" s="1714">
        <v>53332</v>
      </c>
      <c r="E73" s="1714" t="s">
        <v>2771</v>
      </c>
      <c r="F73" s="1715" t="s">
        <v>2770</v>
      </c>
      <c r="G73" s="1684">
        <v>32.5846193</v>
      </c>
      <c r="H73" s="1716">
        <v>5.9244000000000003</v>
      </c>
      <c r="I73" s="1716">
        <f t="shared" si="2"/>
        <v>26.660219300000001</v>
      </c>
      <c r="J73" s="1717" t="s">
        <v>2769</v>
      </c>
      <c r="K73" s="1718">
        <v>9.8599999999999993E-2</v>
      </c>
      <c r="L73" s="1718"/>
      <c r="M73" s="1725" t="s">
        <v>2485</v>
      </c>
      <c r="N73" s="1738"/>
    </row>
    <row r="74" spans="1:14" ht="60" x14ac:dyDescent="0.25">
      <c r="A74" s="1723"/>
      <c r="B74" s="1713">
        <v>71</v>
      </c>
      <c r="C74" s="1714" t="s">
        <v>2479</v>
      </c>
      <c r="D74" s="1714">
        <v>53333</v>
      </c>
      <c r="E74" s="1714" t="s">
        <v>2768</v>
      </c>
      <c r="F74" s="1715" t="s">
        <v>2767</v>
      </c>
      <c r="G74" s="1684">
        <v>2.4792399999999999E-2</v>
      </c>
      <c r="H74" s="1716">
        <v>4.1320000000000003E-3</v>
      </c>
      <c r="I74" s="1716">
        <f t="shared" si="2"/>
        <v>2.0660399999999999E-2</v>
      </c>
      <c r="J74" s="1717" t="s">
        <v>2766</v>
      </c>
      <c r="K74" s="1718">
        <v>9.9000000000000005E-2</v>
      </c>
      <c r="L74" s="1718"/>
      <c r="M74" s="1725" t="s">
        <v>2485</v>
      </c>
      <c r="N74" s="1738"/>
    </row>
    <row r="75" spans="1:14" ht="120" x14ac:dyDescent="0.25">
      <c r="A75" s="1723"/>
      <c r="B75" s="1713">
        <v>72</v>
      </c>
      <c r="C75" s="1714" t="s">
        <v>2479</v>
      </c>
      <c r="D75" s="1714">
        <v>53334</v>
      </c>
      <c r="E75" s="1714" t="s">
        <v>2765</v>
      </c>
      <c r="F75" s="1715" t="s">
        <v>2764</v>
      </c>
      <c r="G75" s="1684">
        <v>12.4984953</v>
      </c>
      <c r="H75" s="1716">
        <v>1.9228000000000001</v>
      </c>
      <c r="I75" s="1716">
        <f t="shared" si="2"/>
        <v>10.5756953</v>
      </c>
      <c r="J75" s="1717" t="s">
        <v>2763</v>
      </c>
      <c r="K75" s="1718">
        <v>9.8599999999999993E-2</v>
      </c>
      <c r="L75" s="1718"/>
      <c r="M75" s="1725" t="s">
        <v>2485</v>
      </c>
      <c r="N75" s="1738"/>
    </row>
    <row r="76" spans="1:14" ht="120" x14ac:dyDescent="0.25">
      <c r="A76" s="1723"/>
      <c r="B76" s="1713">
        <v>73</v>
      </c>
      <c r="C76" s="1714" t="s">
        <v>2479</v>
      </c>
      <c r="D76" s="1714">
        <v>53335</v>
      </c>
      <c r="E76" s="1714" t="s">
        <v>2762</v>
      </c>
      <c r="F76" s="1715" t="s">
        <v>2761</v>
      </c>
      <c r="G76" s="1684">
        <v>27.9445041</v>
      </c>
      <c r="H76" s="1716">
        <v>5.0808</v>
      </c>
      <c r="I76" s="1716">
        <f t="shared" si="2"/>
        <v>22.8637041</v>
      </c>
      <c r="J76" s="1717" t="s">
        <v>2760</v>
      </c>
      <c r="K76" s="1718">
        <v>9.8599999999999993E-2</v>
      </c>
      <c r="L76" s="1718"/>
      <c r="M76" s="1725" t="s">
        <v>2485</v>
      </c>
      <c r="N76" s="1738"/>
    </row>
    <row r="77" spans="1:14" ht="60" x14ac:dyDescent="0.25">
      <c r="A77" s="1723"/>
      <c r="B77" s="1713">
        <v>74</v>
      </c>
      <c r="C77" s="1714" t="s">
        <v>2479</v>
      </c>
      <c r="D77" s="1714">
        <v>53336</v>
      </c>
      <c r="E77" s="1714" t="s">
        <v>2759</v>
      </c>
      <c r="F77" s="1715" t="s">
        <v>2758</v>
      </c>
      <c r="G77" s="1684">
        <v>5.8080921999999999</v>
      </c>
      <c r="H77" s="1716">
        <v>0.96799999999999997</v>
      </c>
      <c r="I77" s="1716">
        <f t="shared" si="2"/>
        <v>4.8400922</v>
      </c>
      <c r="J77" s="1717" t="s">
        <v>2757</v>
      </c>
      <c r="K77" s="1718">
        <v>9.8599999999999993E-2</v>
      </c>
      <c r="L77" s="1718"/>
      <c r="M77" s="1725" t="s">
        <v>2485</v>
      </c>
      <c r="N77" s="1738"/>
    </row>
    <row r="78" spans="1:14" ht="60" x14ac:dyDescent="0.25">
      <c r="A78" s="1723"/>
      <c r="B78" s="1713">
        <v>75</v>
      </c>
      <c r="C78" s="1714" t="s">
        <v>2479</v>
      </c>
      <c r="D78" s="1714">
        <v>53337</v>
      </c>
      <c r="E78" s="1714" t="s">
        <v>2756</v>
      </c>
      <c r="F78" s="1715" t="s">
        <v>2755</v>
      </c>
      <c r="G78" s="1684">
        <v>6.8357929000000004</v>
      </c>
      <c r="H78" s="1716">
        <v>1.1392</v>
      </c>
      <c r="I78" s="1716">
        <f t="shared" si="2"/>
        <v>5.6965929000000006</v>
      </c>
      <c r="J78" s="1717" t="s">
        <v>2754</v>
      </c>
      <c r="K78" s="1718">
        <v>9.8599999999999993E-2</v>
      </c>
      <c r="L78" s="1718"/>
      <c r="M78" s="1725" t="s">
        <v>2485</v>
      </c>
      <c r="N78" s="1738"/>
    </row>
    <row r="79" spans="1:14" ht="75" x14ac:dyDescent="0.25">
      <c r="A79" s="1723"/>
      <c r="B79" s="1713">
        <v>76</v>
      </c>
      <c r="C79" s="1714" t="s">
        <v>2479</v>
      </c>
      <c r="D79" s="1714">
        <v>53338</v>
      </c>
      <c r="E79" s="1714" t="s">
        <v>2753</v>
      </c>
      <c r="F79" s="1715" t="s">
        <v>2752</v>
      </c>
      <c r="G79" s="1684">
        <v>7.1117455999999999</v>
      </c>
      <c r="H79" s="1716">
        <v>1.2927999999999999</v>
      </c>
      <c r="I79" s="1716">
        <f t="shared" si="2"/>
        <v>5.8189456000000002</v>
      </c>
      <c r="J79" s="1717" t="s">
        <v>2751</v>
      </c>
      <c r="K79" s="1718">
        <v>9.8599999999999993E-2</v>
      </c>
      <c r="L79" s="1718"/>
      <c r="M79" s="1725" t="s">
        <v>2485</v>
      </c>
      <c r="N79" s="1738"/>
    </row>
    <row r="80" spans="1:14" ht="75" x14ac:dyDescent="0.25">
      <c r="A80" s="1723"/>
      <c r="B80" s="1713">
        <v>77</v>
      </c>
      <c r="C80" s="1714" t="s">
        <v>2479</v>
      </c>
      <c r="D80" s="1714">
        <v>53339</v>
      </c>
      <c r="E80" s="1714" t="s">
        <v>2750</v>
      </c>
      <c r="F80" s="1715" t="s">
        <v>2749</v>
      </c>
      <c r="G80" s="1684">
        <v>8.6474250000000001</v>
      </c>
      <c r="H80" s="1716">
        <v>1.5036</v>
      </c>
      <c r="I80" s="1716">
        <f t="shared" si="2"/>
        <v>7.1438249999999996</v>
      </c>
      <c r="J80" s="1717" t="s">
        <v>2748</v>
      </c>
      <c r="K80" s="1718">
        <v>9.8599999999999993E-2</v>
      </c>
      <c r="L80" s="1718"/>
      <c r="M80" s="1725" t="s">
        <v>2485</v>
      </c>
      <c r="N80" s="1738"/>
    </row>
    <row r="81" spans="1:14" ht="75" x14ac:dyDescent="0.25">
      <c r="A81" s="1723"/>
      <c r="B81" s="1713">
        <v>78</v>
      </c>
      <c r="C81" s="1714" t="s">
        <v>2479</v>
      </c>
      <c r="D81" s="1714">
        <v>53341</v>
      </c>
      <c r="E81" s="1714" t="s">
        <v>2747</v>
      </c>
      <c r="F81" s="1715" t="s">
        <v>2746</v>
      </c>
      <c r="G81" s="1684">
        <v>6.2153613999999999</v>
      </c>
      <c r="H81" s="1716">
        <v>1.0808</v>
      </c>
      <c r="I81" s="1716">
        <f t="shared" si="2"/>
        <v>5.1345613999999999</v>
      </c>
      <c r="J81" s="1717" t="s">
        <v>2745</v>
      </c>
      <c r="K81" s="1718">
        <v>9.8599999999999993E-2</v>
      </c>
      <c r="L81" s="1718"/>
      <c r="M81" s="1725" t="s">
        <v>2485</v>
      </c>
      <c r="N81" s="1738"/>
    </row>
    <row r="82" spans="1:14" ht="45" x14ac:dyDescent="0.25">
      <c r="A82" s="1723"/>
      <c r="B82" s="1713">
        <v>79</v>
      </c>
      <c r="C82" s="1714" t="s">
        <v>2479</v>
      </c>
      <c r="D82" s="1714">
        <v>53342</v>
      </c>
      <c r="E82" s="1714" t="s">
        <v>2744</v>
      </c>
      <c r="F82" s="1715" t="s">
        <v>2743</v>
      </c>
      <c r="G82" s="1684">
        <v>0</v>
      </c>
      <c r="H82" s="1716">
        <v>0</v>
      </c>
      <c r="I82" s="1716">
        <f t="shared" si="2"/>
        <v>0</v>
      </c>
      <c r="J82" s="1717" t="s">
        <v>2610</v>
      </c>
      <c r="K82" s="1718"/>
      <c r="L82" s="1718"/>
      <c r="M82" s="1725" t="s">
        <v>2485</v>
      </c>
      <c r="N82" s="1738"/>
    </row>
    <row r="83" spans="1:14" ht="90" x14ac:dyDescent="0.25">
      <c r="A83" s="1723"/>
      <c r="B83" s="1713">
        <v>80</v>
      </c>
      <c r="C83" s="1714" t="s">
        <v>2479</v>
      </c>
      <c r="D83" s="1714">
        <v>53343</v>
      </c>
      <c r="E83" s="1714" t="s">
        <v>2742</v>
      </c>
      <c r="F83" s="1715" t="s">
        <v>2741</v>
      </c>
      <c r="G83" s="1684">
        <v>7.8648420000000003</v>
      </c>
      <c r="H83" s="1716">
        <v>1.3675999999999999</v>
      </c>
      <c r="I83" s="1716">
        <f t="shared" si="2"/>
        <v>6.497242</v>
      </c>
      <c r="J83" s="1717" t="s">
        <v>2740</v>
      </c>
      <c r="K83" s="1718">
        <v>9.8599999999999993E-2</v>
      </c>
      <c r="L83" s="1718"/>
      <c r="M83" s="1725" t="s">
        <v>2485</v>
      </c>
      <c r="N83" s="1738"/>
    </row>
    <row r="84" spans="1:14" ht="90" x14ac:dyDescent="0.25">
      <c r="A84" s="1723"/>
      <c r="B84" s="1713">
        <v>81</v>
      </c>
      <c r="C84" s="1714" t="s">
        <v>2479</v>
      </c>
      <c r="D84" s="1714">
        <v>53344</v>
      </c>
      <c r="E84" s="1714" t="s">
        <v>2739</v>
      </c>
      <c r="F84" s="1715" t="s">
        <v>2738</v>
      </c>
      <c r="G84" s="1684">
        <v>9.7693112000000006</v>
      </c>
      <c r="H84" s="1716">
        <v>1.6988000000000001</v>
      </c>
      <c r="I84" s="1716">
        <f t="shared" si="2"/>
        <v>8.0705112000000003</v>
      </c>
      <c r="J84" s="1717" t="s">
        <v>2737</v>
      </c>
      <c r="K84" s="1718">
        <v>9.8599999999999993E-2</v>
      </c>
      <c r="L84" s="1718"/>
      <c r="M84" s="1725" t="s">
        <v>2485</v>
      </c>
      <c r="N84" s="1738"/>
    </row>
    <row r="85" spans="1:14" ht="105" x14ac:dyDescent="0.25">
      <c r="A85" s="1723"/>
      <c r="B85" s="1713">
        <v>82</v>
      </c>
      <c r="C85" s="1714" t="s">
        <v>2479</v>
      </c>
      <c r="D85" s="1714">
        <v>53345</v>
      </c>
      <c r="E85" s="1714" t="s">
        <v>2736</v>
      </c>
      <c r="F85" s="1715" t="s">
        <v>2735</v>
      </c>
      <c r="G85" s="1684">
        <v>20.5739999</v>
      </c>
      <c r="H85" s="1716">
        <v>3.4287999999999998</v>
      </c>
      <c r="I85" s="1716">
        <f t="shared" si="2"/>
        <v>17.145199900000001</v>
      </c>
      <c r="J85" s="1717" t="s">
        <v>2734</v>
      </c>
      <c r="K85" s="1718">
        <v>9.8599999999999993E-2</v>
      </c>
      <c r="L85" s="1718"/>
      <c r="M85" s="1725" t="s">
        <v>2485</v>
      </c>
      <c r="N85" s="1738"/>
    </row>
    <row r="86" spans="1:14" ht="165" x14ac:dyDescent="0.25">
      <c r="A86" s="1723"/>
      <c r="B86" s="1713">
        <v>83</v>
      </c>
      <c r="C86" s="1714" t="s">
        <v>2479</v>
      </c>
      <c r="D86" s="1714">
        <v>53346</v>
      </c>
      <c r="E86" s="1714" t="s">
        <v>2733</v>
      </c>
      <c r="F86" s="1715" t="s">
        <v>2732</v>
      </c>
      <c r="G86" s="1684">
        <v>6.5693298000000002</v>
      </c>
      <c r="H86" s="1716">
        <v>1.0948</v>
      </c>
      <c r="I86" s="1716">
        <f t="shared" si="2"/>
        <v>5.4745298</v>
      </c>
      <c r="J86" s="1717" t="s">
        <v>2731</v>
      </c>
      <c r="K86" s="1718">
        <v>9.8599999999999993E-2</v>
      </c>
      <c r="L86" s="1718"/>
      <c r="M86" s="1725" t="s">
        <v>2485</v>
      </c>
      <c r="N86" s="1738"/>
    </row>
    <row r="87" spans="1:14" ht="165" x14ac:dyDescent="0.25">
      <c r="A87" s="1723"/>
      <c r="B87" s="1713">
        <v>84</v>
      </c>
      <c r="C87" s="1714" t="s">
        <v>2479</v>
      </c>
      <c r="D87" s="1714">
        <v>53347</v>
      </c>
      <c r="E87" s="1714" t="s">
        <v>2730</v>
      </c>
      <c r="F87" s="1715" t="s">
        <v>2729</v>
      </c>
      <c r="G87" s="1684">
        <v>5.4232889999999996</v>
      </c>
      <c r="H87" s="1716">
        <v>0.90359999999999996</v>
      </c>
      <c r="I87" s="1716">
        <f t="shared" si="2"/>
        <v>4.5196889999999996</v>
      </c>
      <c r="J87" s="1717" t="s">
        <v>2728</v>
      </c>
      <c r="K87" s="1718">
        <v>9.8599999999999993E-2</v>
      </c>
      <c r="L87" s="1718"/>
      <c r="M87" s="1725" t="s">
        <v>2485</v>
      </c>
      <c r="N87" s="1738"/>
    </row>
    <row r="88" spans="1:14" ht="117" customHeight="1" x14ac:dyDescent="0.25">
      <c r="A88" s="1723"/>
      <c r="B88" s="1713">
        <v>85</v>
      </c>
      <c r="C88" s="1714" t="s">
        <v>2479</v>
      </c>
      <c r="D88" s="1714">
        <v>53348</v>
      </c>
      <c r="E88" s="1714" t="s">
        <v>2727</v>
      </c>
      <c r="F88" s="1715" t="s">
        <v>2726</v>
      </c>
      <c r="G88" s="1684">
        <v>11.301306200000001</v>
      </c>
      <c r="H88" s="1716">
        <v>1.9652000000000001</v>
      </c>
      <c r="I88" s="1716">
        <f t="shared" si="2"/>
        <v>9.3361062000000015</v>
      </c>
      <c r="J88" s="1717" t="s">
        <v>2725</v>
      </c>
      <c r="K88" s="1718">
        <v>9.8599999999999993E-2</v>
      </c>
      <c r="L88" s="1718"/>
      <c r="M88" s="1725" t="s">
        <v>2485</v>
      </c>
      <c r="N88" s="1738"/>
    </row>
    <row r="89" spans="1:14" ht="75" x14ac:dyDescent="0.25">
      <c r="A89" s="1723"/>
      <c r="B89" s="1713">
        <v>86</v>
      </c>
      <c r="C89" s="1714" t="s">
        <v>2479</v>
      </c>
      <c r="D89" s="1714">
        <v>53349</v>
      </c>
      <c r="E89" s="1714" t="s">
        <v>2724</v>
      </c>
      <c r="F89" s="1715" t="s">
        <v>2723</v>
      </c>
      <c r="G89" s="1684">
        <v>12.778424899999999</v>
      </c>
      <c r="H89" s="1716">
        <v>1.548</v>
      </c>
      <c r="I89" s="1716">
        <f t="shared" si="2"/>
        <v>11.230424899999999</v>
      </c>
      <c r="J89" s="1717" t="s">
        <v>2722</v>
      </c>
      <c r="K89" s="1718">
        <v>9.7799999999999998E-2</v>
      </c>
      <c r="L89" s="1718"/>
      <c r="M89" s="1725" t="s">
        <v>2485</v>
      </c>
      <c r="N89" s="1738"/>
    </row>
    <row r="90" spans="1:14" ht="105" x14ac:dyDescent="0.25">
      <c r="A90" s="1723"/>
      <c r="B90" s="1713">
        <v>87</v>
      </c>
      <c r="C90" s="1714" t="s">
        <v>2479</v>
      </c>
      <c r="D90" s="1714">
        <v>53350</v>
      </c>
      <c r="E90" s="1714" t="s">
        <v>2721</v>
      </c>
      <c r="F90" s="1715" t="s">
        <v>2720</v>
      </c>
      <c r="G90" s="1684">
        <v>1.7020432000000001</v>
      </c>
      <c r="H90" s="1716">
        <v>0.308</v>
      </c>
      <c r="I90" s="1716">
        <f t="shared" si="2"/>
        <v>1.3940432</v>
      </c>
      <c r="J90" s="1717" t="s">
        <v>2719</v>
      </c>
      <c r="K90" s="1718">
        <v>9.8599999999999993E-2</v>
      </c>
      <c r="L90" s="1718"/>
      <c r="M90" s="1725" t="s">
        <v>2485</v>
      </c>
      <c r="N90" s="1738"/>
    </row>
    <row r="91" spans="1:14" ht="75" x14ac:dyDescent="0.25">
      <c r="A91" s="1723"/>
      <c r="B91" s="1713">
        <v>88</v>
      </c>
      <c r="C91" s="1714" t="s">
        <v>2479</v>
      </c>
      <c r="D91" s="1714">
        <v>53351</v>
      </c>
      <c r="E91" s="1714" t="s">
        <v>2718</v>
      </c>
      <c r="F91" s="1715" t="s">
        <v>2717</v>
      </c>
      <c r="G91" s="1684">
        <v>18.334464000000001</v>
      </c>
      <c r="H91" s="1716">
        <v>1.9476</v>
      </c>
      <c r="I91" s="1716">
        <f t="shared" si="2"/>
        <v>16.386863999999999</v>
      </c>
      <c r="J91" s="1717" t="s">
        <v>2716</v>
      </c>
      <c r="K91" s="1718">
        <v>9.7799999999999998E-2</v>
      </c>
      <c r="L91" s="1718"/>
      <c r="M91" s="1725" t="s">
        <v>2485</v>
      </c>
      <c r="N91" s="1738"/>
    </row>
    <row r="92" spans="1:14" ht="75" x14ac:dyDescent="0.25">
      <c r="A92" s="1723"/>
      <c r="B92" s="1713">
        <v>89</v>
      </c>
      <c r="C92" s="1714" t="s">
        <v>2479</v>
      </c>
      <c r="D92" s="1714">
        <v>53352</v>
      </c>
      <c r="E92" s="1714" t="s">
        <v>2715</v>
      </c>
      <c r="F92" s="1715" t="s">
        <v>2714</v>
      </c>
      <c r="G92" s="1684">
        <v>86.348382599999994</v>
      </c>
      <c r="H92" s="1716">
        <v>13.811999999999999</v>
      </c>
      <c r="I92" s="1716">
        <f t="shared" si="2"/>
        <v>72.536382599999996</v>
      </c>
      <c r="J92" s="1717" t="s">
        <v>2713</v>
      </c>
      <c r="K92" s="1718">
        <v>9.8000000000000004E-2</v>
      </c>
      <c r="L92" s="1718"/>
      <c r="M92" s="1725" t="s">
        <v>2485</v>
      </c>
      <c r="N92" s="1738"/>
    </row>
    <row r="93" spans="1:14" ht="90" x14ac:dyDescent="0.25">
      <c r="A93" s="1723"/>
      <c r="B93" s="1713">
        <v>90</v>
      </c>
      <c r="C93" s="1714" t="s">
        <v>2479</v>
      </c>
      <c r="D93" s="1714">
        <v>53354</v>
      </c>
      <c r="E93" s="1714" t="s">
        <v>2712</v>
      </c>
      <c r="F93" s="1715" t="s">
        <v>2711</v>
      </c>
      <c r="G93" s="1684">
        <v>14.5321403</v>
      </c>
      <c r="H93" s="1716">
        <v>2.3248000000000002</v>
      </c>
      <c r="I93" s="1716">
        <f t="shared" si="2"/>
        <v>12.2073403</v>
      </c>
      <c r="J93" s="1717" t="s">
        <v>2710</v>
      </c>
      <c r="K93" s="1718">
        <v>9.8599999999999993E-2</v>
      </c>
      <c r="L93" s="1718"/>
      <c r="M93" s="1725" t="s">
        <v>2485</v>
      </c>
      <c r="N93" s="1738"/>
    </row>
    <row r="94" spans="1:14" ht="60" x14ac:dyDescent="0.25">
      <c r="A94" s="1723"/>
      <c r="B94" s="1713">
        <v>91</v>
      </c>
      <c r="C94" s="1714" t="s">
        <v>2479</v>
      </c>
      <c r="D94" s="1714">
        <v>53355</v>
      </c>
      <c r="E94" s="1714" t="s">
        <v>2709</v>
      </c>
      <c r="F94" s="1715" t="s">
        <v>2708</v>
      </c>
      <c r="G94" s="1684">
        <v>6.6707595</v>
      </c>
      <c r="H94" s="1716">
        <v>1.0671999999999999</v>
      </c>
      <c r="I94" s="1716">
        <f t="shared" si="2"/>
        <v>5.6035595000000002</v>
      </c>
      <c r="J94" s="1717" t="s">
        <v>2707</v>
      </c>
      <c r="K94" s="1718">
        <v>9.8599999999999993E-2</v>
      </c>
      <c r="L94" s="1718"/>
      <c r="M94" s="1725" t="s">
        <v>2485</v>
      </c>
      <c r="N94" s="1738"/>
    </row>
    <row r="95" spans="1:14" ht="120" x14ac:dyDescent="0.25">
      <c r="A95" s="1723"/>
      <c r="B95" s="1713">
        <v>92</v>
      </c>
      <c r="C95" s="1714" t="s">
        <v>2479</v>
      </c>
      <c r="D95" s="1714">
        <v>53356</v>
      </c>
      <c r="E95" s="1714" t="s">
        <v>2706</v>
      </c>
      <c r="F95" s="1715" t="s">
        <v>2705</v>
      </c>
      <c r="G95" s="1684">
        <v>8.0385167000000006</v>
      </c>
      <c r="H95" s="1716">
        <v>1.1908000000000001</v>
      </c>
      <c r="I95" s="1716">
        <f t="shared" si="2"/>
        <v>6.8477167000000003</v>
      </c>
      <c r="J95" s="1717" t="s">
        <v>2704</v>
      </c>
      <c r="K95" s="1718">
        <v>9.8599999999999993E-2</v>
      </c>
      <c r="L95" s="1718"/>
      <c r="M95" s="1725" t="s">
        <v>2485</v>
      </c>
      <c r="N95" s="1738"/>
    </row>
    <row r="96" spans="1:14" ht="75" x14ac:dyDescent="0.25">
      <c r="A96" s="1723"/>
      <c r="B96" s="1713">
        <v>93</v>
      </c>
      <c r="C96" s="1714" t="s">
        <v>2479</v>
      </c>
      <c r="D96" s="1714">
        <v>53357</v>
      </c>
      <c r="E96" s="1714" t="s">
        <v>2703</v>
      </c>
      <c r="F96" s="1715" t="s">
        <v>2702</v>
      </c>
      <c r="G96" s="1684">
        <v>7.5076672999999996</v>
      </c>
      <c r="H96" s="1716">
        <v>0.89160000000000006</v>
      </c>
      <c r="I96" s="1716">
        <f t="shared" si="2"/>
        <v>6.6160672999999992</v>
      </c>
      <c r="J96" s="1717" t="s">
        <v>2701</v>
      </c>
      <c r="K96" s="1718">
        <v>9.6699999999999994E-2</v>
      </c>
      <c r="L96" s="1718"/>
      <c r="M96" s="1725" t="s">
        <v>2485</v>
      </c>
      <c r="N96" s="1738"/>
    </row>
    <row r="97" spans="1:14" ht="60" x14ac:dyDescent="0.25">
      <c r="A97" s="1723"/>
      <c r="B97" s="1713">
        <v>94</v>
      </c>
      <c r="C97" s="1714" t="s">
        <v>2479</v>
      </c>
      <c r="D97" s="1714">
        <v>53358</v>
      </c>
      <c r="E97" s="1714" t="s">
        <v>2700</v>
      </c>
      <c r="F97" s="1715" t="s">
        <v>2699</v>
      </c>
      <c r="G97" s="1684">
        <v>5.8969554999999998</v>
      </c>
      <c r="H97" s="1716">
        <v>0.94320000000000004</v>
      </c>
      <c r="I97" s="1716">
        <f t="shared" si="2"/>
        <v>4.9537554999999998</v>
      </c>
      <c r="J97" s="1717" t="s">
        <v>2698</v>
      </c>
      <c r="K97" s="1718">
        <v>9.8599999999999993E-2</v>
      </c>
      <c r="L97" s="1718"/>
      <c r="M97" s="1725" t="s">
        <v>2485</v>
      </c>
      <c r="N97" s="1738"/>
    </row>
    <row r="98" spans="1:14" ht="60" x14ac:dyDescent="0.25">
      <c r="A98" s="1723"/>
      <c r="B98" s="1713">
        <v>95</v>
      </c>
      <c r="C98" s="1714" t="s">
        <v>2479</v>
      </c>
      <c r="D98" s="1714">
        <v>53359</v>
      </c>
      <c r="E98" s="1714" t="s">
        <v>2697</v>
      </c>
      <c r="F98" s="1715" t="s">
        <v>2696</v>
      </c>
      <c r="G98" s="1684">
        <v>7.7961102000000002</v>
      </c>
      <c r="H98" s="1716">
        <v>1.1135999999999999</v>
      </c>
      <c r="I98" s="1716">
        <f t="shared" si="2"/>
        <v>6.6825102000000003</v>
      </c>
      <c r="J98" s="1717" t="s">
        <v>2695</v>
      </c>
      <c r="K98" s="1718">
        <v>9.8599999999999993E-2</v>
      </c>
      <c r="L98" s="1718"/>
      <c r="M98" s="1725" t="s">
        <v>2485</v>
      </c>
      <c r="N98" s="1738"/>
    </row>
    <row r="99" spans="1:14" ht="60" x14ac:dyDescent="0.25">
      <c r="A99" s="1723"/>
      <c r="B99" s="1713">
        <v>96</v>
      </c>
      <c r="C99" s="1714" t="s">
        <v>2479</v>
      </c>
      <c r="D99" s="1714">
        <v>53360</v>
      </c>
      <c r="E99" s="1714" t="s">
        <v>2694</v>
      </c>
      <c r="F99" s="1715" t="s">
        <v>2693</v>
      </c>
      <c r="G99" s="1684">
        <v>8.6771002999999993</v>
      </c>
      <c r="H99" s="1716">
        <v>1.3879999999999999</v>
      </c>
      <c r="I99" s="1716">
        <f t="shared" si="2"/>
        <v>7.2891002999999994</v>
      </c>
      <c r="J99" s="1717" t="s">
        <v>2692</v>
      </c>
      <c r="K99" s="1718">
        <v>9.8599999999999993E-2</v>
      </c>
      <c r="L99" s="1718"/>
      <c r="M99" s="1725" t="s">
        <v>2485</v>
      </c>
      <c r="N99" s="1738"/>
    </row>
    <row r="100" spans="1:14" ht="75" x14ac:dyDescent="0.25">
      <c r="A100" s="1723"/>
      <c r="B100" s="1713">
        <v>97</v>
      </c>
      <c r="C100" s="1714" t="s">
        <v>2479</v>
      </c>
      <c r="D100" s="1714">
        <v>53361</v>
      </c>
      <c r="E100" s="1714" t="s">
        <v>2691</v>
      </c>
      <c r="F100" s="1715" t="s">
        <v>2690</v>
      </c>
      <c r="G100" s="1684">
        <v>10.2142953</v>
      </c>
      <c r="H100" s="1716">
        <v>1.5132000000000001</v>
      </c>
      <c r="I100" s="1716">
        <f t="shared" ref="I100:I131" si="3">G100-H100</f>
        <v>8.7010953000000004</v>
      </c>
      <c r="J100" s="1717" t="s">
        <v>2689</v>
      </c>
      <c r="K100" s="1718">
        <v>9.8599999999999993E-2</v>
      </c>
      <c r="L100" s="1718"/>
      <c r="M100" s="1725" t="s">
        <v>2485</v>
      </c>
      <c r="N100" s="1738"/>
    </row>
    <row r="101" spans="1:14" ht="60" x14ac:dyDescent="0.25">
      <c r="A101" s="1723"/>
      <c r="B101" s="1713">
        <v>98</v>
      </c>
      <c r="C101" s="1714" t="s">
        <v>2479</v>
      </c>
      <c r="D101" s="1714">
        <v>53362</v>
      </c>
      <c r="E101" s="1714" t="s">
        <v>2688</v>
      </c>
      <c r="F101" s="1715" t="s">
        <v>2687</v>
      </c>
      <c r="G101" s="1684">
        <v>7.0548152999999996</v>
      </c>
      <c r="H101" s="1716">
        <v>1.1284000000000001</v>
      </c>
      <c r="I101" s="1716">
        <f t="shared" si="3"/>
        <v>5.9264152999999995</v>
      </c>
      <c r="J101" s="1717" t="s">
        <v>2686</v>
      </c>
      <c r="K101" s="1718">
        <v>9.8599999999999993E-2</v>
      </c>
      <c r="L101" s="1718"/>
      <c r="M101" s="1725" t="s">
        <v>2485</v>
      </c>
      <c r="N101" s="1738"/>
    </row>
    <row r="102" spans="1:14" ht="60" x14ac:dyDescent="0.25">
      <c r="A102" s="1723"/>
      <c r="B102" s="1713">
        <v>99</v>
      </c>
      <c r="C102" s="1714" t="s">
        <v>2479</v>
      </c>
      <c r="D102" s="1714">
        <v>53363</v>
      </c>
      <c r="E102" s="1714" t="s">
        <v>2685</v>
      </c>
      <c r="F102" s="1715" t="s">
        <v>2684</v>
      </c>
      <c r="G102" s="1684">
        <v>1.7778337</v>
      </c>
      <c r="H102" s="1716">
        <v>0</v>
      </c>
      <c r="I102" s="1716">
        <f t="shared" si="3"/>
        <v>1.7778337</v>
      </c>
      <c r="J102" s="1717" t="s">
        <v>2683</v>
      </c>
      <c r="K102" s="1718">
        <v>9.7000000000000003E-2</v>
      </c>
      <c r="L102" s="1718"/>
      <c r="M102" s="1725" t="s">
        <v>2485</v>
      </c>
      <c r="N102" s="1738"/>
    </row>
    <row r="103" spans="1:14" ht="90" x14ac:dyDescent="0.25">
      <c r="A103" s="1723"/>
      <c r="B103" s="1713">
        <v>100</v>
      </c>
      <c r="C103" s="1714" t="s">
        <v>2479</v>
      </c>
      <c r="D103" s="1714">
        <v>53364</v>
      </c>
      <c r="E103" s="1714" t="s">
        <v>2682</v>
      </c>
      <c r="F103" s="1715" t="s">
        <v>2681</v>
      </c>
      <c r="G103" s="1684">
        <v>32.11</v>
      </c>
      <c r="H103" s="1716">
        <v>5.1375999999999999</v>
      </c>
      <c r="I103" s="1716">
        <f t="shared" si="3"/>
        <v>26.9724</v>
      </c>
      <c r="J103" s="1717" t="s">
        <v>2680</v>
      </c>
      <c r="K103" s="1718">
        <v>9.8599999999999993E-2</v>
      </c>
      <c r="L103" s="1718"/>
      <c r="M103" s="1725" t="s">
        <v>2485</v>
      </c>
      <c r="N103" s="1738"/>
    </row>
    <row r="104" spans="1:14" ht="225" x14ac:dyDescent="0.25">
      <c r="A104" s="1723"/>
      <c r="B104" s="1713">
        <v>101</v>
      </c>
      <c r="C104" s="1714" t="s">
        <v>2479</v>
      </c>
      <c r="D104" s="1714">
        <v>53365</v>
      </c>
      <c r="E104" s="1714" t="s">
        <v>2679</v>
      </c>
      <c r="F104" s="1715" t="s">
        <v>2678</v>
      </c>
      <c r="G104" s="1684">
        <v>8.1508176999999993</v>
      </c>
      <c r="H104" s="1716">
        <v>1.1644000000000001</v>
      </c>
      <c r="I104" s="1716">
        <f t="shared" si="3"/>
        <v>6.9864176999999987</v>
      </c>
      <c r="J104" s="1717" t="s">
        <v>2675</v>
      </c>
      <c r="K104" s="1718">
        <v>9.8599999999999993E-2</v>
      </c>
      <c r="L104" s="1718"/>
      <c r="M104" s="1725" t="s">
        <v>2485</v>
      </c>
      <c r="N104" s="1738"/>
    </row>
    <row r="105" spans="1:14" ht="60" x14ac:dyDescent="0.25">
      <c r="A105" s="1723"/>
      <c r="B105" s="1713">
        <v>102</v>
      </c>
      <c r="C105" s="1714" t="s">
        <v>2479</v>
      </c>
      <c r="D105" s="1714">
        <v>53366</v>
      </c>
      <c r="E105" s="1714" t="s">
        <v>2677</v>
      </c>
      <c r="F105" s="1715" t="s">
        <v>2676</v>
      </c>
      <c r="G105" s="1684">
        <v>8.1414878999999996</v>
      </c>
      <c r="H105" s="1716">
        <v>1.1630400000000001</v>
      </c>
      <c r="I105" s="1716">
        <f t="shared" si="3"/>
        <v>6.978447899999999</v>
      </c>
      <c r="J105" s="1717" t="s">
        <v>2675</v>
      </c>
      <c r="K105" s="1718">
        <v>9.8599999999999993E-2</v>
      </c>
      <c r="L105" s="1718"/>
      <c r="M105" s="1725" t="s">
        <v>2485</v>
      </c>
      <c r="N105" s="1738"/>
    </row>
    <row r="106" spans="1:14" ht="60" x14ac:dyDescent="0.25">
      <c r="A106" s="1723"/>
      <c r="B106" s="1713">
        <v>103</v>
      </c>
      <c r="C106" s="1714" t="s">
        <v>2479</v>
      </c>
      <c r="D106" s="1714">
        <v>53367</v>
      </c>
      <c r="E106" s="1714" t="s">
        <v>2674</v>
      </c>
      <c r="F106" s="1715" t="s">
        <v>2673</v>
      </c>
      <c r="G106" s="1684">
        <v>8.3141943999999999</v>
      </c>
      <c r="H106" s="1716">
        <v>0.62356459259999997</v>
      </c>
      <c r="I106" s="1716">
        <f t="shared" si="3"/>
        <v>7.6906298073999997</v>
      </c>
      <c r="J106" s="1717" t="s">
        <v>2672</v>
      </c>
      <c r="K106" s="1718">
        <v>9.7799999999999998E-2</v>
      </c>
      <c r="L106" s="1718"/>
      <c r="M106" s="1725" t="s">
        <v>2485</v>
      </c>
      <c r="N106" s="1738"/>
    </row>
    <row r="107" spans="1:14" ht="75" x14ac:dyDescent="0.25">
      <c r="A107" s="1723"/>
      <c r="B107" s="1713">
        <v>104</v>
      </c>
      <c r="C107" s="1714" t="s">
        <v>2479</v>
      </c>
      <c r="D107" s="1714">
        <v>53369</v>
      </c>
      <c r="E107" s="1714" t="s">
        <v>2671</v>
      </c>
      <c r="F107" s="1715" t="s">
        <v>2670</v>
      </c>
      <c r="G107" s="1684">
        <v>16.283950000000001</v>
      </c>
      <c r="H107" s="1716">
        <v>0</v>
      </c>
      <c r="I107" s="1716">
        <f t="shared" si="3"/>
        <v>16.283950000000001</v>
      </c>
      <c r="J107" s="1717" t="s">
        <v>2669</v>
      </c>
      <c r="K107" s="1718">
        <v>9.8599999999999993E-2</v>
      </c>
      <c r="L107" s="1718"/>
      <c r="M107" s="1725" t="s">
        <v>2485</v>
      </c>
      <c r="N107" s="1738"/>
    </row>
    <row r="108" spans="1:14" ht="90" x14ac:dyDescent="0.25">
      <c r="A108" s="1723"/>
      <c r="B108" s="1713">
        <v>105</v>
      </c>
      <c r="C108" s="1714" t="s">
        <v>2479</v>
      </c>
      <c r="D108" s="1714">
        <v>53370</v>
      </c>
      <c r="E108" s="1714" t="s">
        <v>2668</v>
      </c>
      <c r="F108" s="1715" t="s">
        <v>2667</v>
      </c>
      <c r="G108" s="1684">
        <v>6.4791999999999996</v>
      </c>
      <c r="H108" s="1716">
        <v>0.99680000000000002</v>
      </c>
      <c r="I108" s="1716">
        <f t="shared" si="3"/>
        <v>5.4823999999999993</v>
      </c>
      <c r="J108" s="1717" t="s">
        <v>2666</v>
      </c>
      <c r="K108" s="1718">
        <v>9.8599999999999993E-2</v>
      </c>
      <c r="L108" s="1718"/>
      <c r="M108" s="1725" t="s">
        <v>2485</v>
      </c>
      <c r="N108" s="1738"/>
    </row>
    <row r="109" spans="1:14" ht="60" x14ac:dyDescent="0.25">
      <c r="A109" s="1723"/>
      <c r="B109" s="1713">
        <v>106</v>
      </c>
      <c r="C109" s="1714" t="s">
        <v>2479</v>
      </c>
      <c r="D109" s="1714">
        <v>53372</v>
      </c>
      <c r="E109" s="1714" t="s">
        <v>2665</v>
      </c>
      <c r="F109" s="1715" t="s">
        <v>2664</v>
      </c>
      <c r="G109" s="1684">
        <v>10.694736000000001</v>
      </c>
      <c r="H109" s="1716">
        <v>1.5276000000000001</v>
      </c>
      <c r="I109" s="1716">
        <f t="shared" si="3"/>
        <v>9.1671360000000011</v>
      </c>
      <c r="J109" s="1717" t="s">
        <v>2631</v>
      </c>
      <c r="K109" s="1718">
        <v>9.8599999999999993E-2</v>
      </c>
      <c r="L109" s="1718"/>
      <c r="M109" s="1725" t="s">
        <v>2485</v>
      </c>
      <c r="N109" s="1738"/>
    </row>
    <row r="110" spans="1:14" ht="90" x14ac:dyDescent="0.25">
      <c r="A110" s="1723"/>
      <c r="B110" s="1713">
        <v>107</v>
      </c>
      <c r="C110" s="1714" t="s">
        <v>2479</v>
      </c>
      <c r="D110" s="1714">
        <v>53373</v>
      </c>
      <c r="E110" s="1714" t="s">
        <v>2663</v>
      </c>
      <c r="F110" s="1715" t="s">
        <v>2662</v>
      </c>
      <c r="G110" s="1684">
        <v>3.2695399999999999E-2</v>
      </c>
      <c r="H110" s="1716">
        <v>5.2312000000000001E-3</v>
      </c>
      <c r="I110" s="1716">
        <f t="shared" si="3"/>
        <v>2.7464200000000001E-2</v>
      </c>
      <c r="J110" s="1717" t="s">
        <v>2661</v>
      </c>
      <c r="K110" s="1718">
        <v>9.8599999999999993E-2</v>
      </c>
      <c r="L110" s="1718"/>
      <c r="M110" s="1725" t="s">
        <v>2485</v>
      </c>
      <c r="N110" s="1738"/>
    </row>
    <row r="111" spans="1:14" ht="135" x14ac:dyDescent="0.25">
      <c r="A111" s="1723"/>
      <c r="B111" s="1713">
        <v>108</v>
      </c>
      <c r="C111" s="1714" t="s">
        <v>2479</v>
      </c>
      <c r="D111" s="1714">
        <v>53374</v>
      </c>
      <c r="E111" s="1714" t="s">
        <v>2660</v>
      </c>
      <c r="F111" s="1715" t="s">
        <v>2659</v>
      </c>
      <c r="G111" s="1684">
        <v>6.1399996000000003</v>
      </c>
      <c r="H111" s="1716">
        <v>0.98240000000000005</v>
      </c>
      <c r="I111" s="1716">
        <f t="shared" si="3"/>
        <v>5.1575996000000002</v>
      </c>
      <c r="J111" s="1717" t="s">
        <v>2658</v>
      </c>
      <c r="K111" s="1718">
        <v>9.8599999999999993E-2</v>
      </c>
      <c r="L111" s="1718"/>
      <c r="M111" s="1725" t="s">
        <v>2485</v>
      </c>
      <c r="N111" s="1738"/>
    </row>
    <row r="112" spans="1:14" ht="135" x14ac:dyDescent="0.25">
      <c r="A112" s="1723"/>
      <c r="B112" s="1713">
        <v>109</v>
      </c>
      <c r="C112" s="1714" t="s">
        <v>2479</v>
      </c>
      <c r="D112" s="1714">
        <v>53375</v>
      </c>
      <c r="E112" s="1714" t="s">
        <v>2657</v>
      </c>
      <c r="F112" s="1715" t="s">
        <v>2656</v>
      </c>
      <c r="G112" s="1684">
        <v>17.326641800000001</v>
      </c>
      <c r="H112" s="1716">
        <v>2.4752000000000001</v>
      </c>
      <c r="I112" s="1716">
        <f t="shared" si="3"/>
        <v>14.8514418</v>
      </c>
      <c r="J112" s="1717" t="s">
        <v>2655</v>
      </c>
      <c r="K112" s="1718">
        <v>9.8599999999999993E-2</v>
      </c>
      <c r="L112" s="1718"/>
      <c r="M112" s="1725" t="s">
        <v>2485</v>
      </c>
      <c r="N112" s="1738"/>
    </row>
    <row r="113" spans="1:14" ht="75" x14ac:dyDescent="0.25">
      <c r="A113" s="1723"/>
      <c r="B113" s="1713">
        <v>110</v>
      </c>
      <c r="C113" s="1714" t="s">
        <v>2479</v>
      </c>
      <c r="D113" s="1714">
        <v>53376</v>
      </c>
      <c r="E113" s="1714" t="s">
        <v>2654</v>
      </c>
      <c r="F113" s="1715" t="s">
        <v>2653</v>
      </c>
      <c r="G113" s="1684">
        <v>7.2305999999999999</v>
      </c>
      <c r="H113" s="1716">
        <v>1.0711999999999999</v>
      </c>
      <c r="I113" s="1716">
        <f t="shared" si="3"/>
        <v>6.1593999999999998</v>
      </c>
      <c r="J113" s="1717" t="s">
        <v>2652</v>
      </c>
      <c r="K113" s="1718">
        <v>9.8599999999999993E-2</v>
      </c>
      <c r="L113" s="1718"/>
      <c r="M113" s="1725" t="s">
        <v>2485</v>
      </c>
      <c r="N113" s="1738"/>
    </row>
    <row r="114" spans="1:14" ht="165" x14ac:dyDescent="0.25">
      <c r="A114" s="1723"/>
      <c r="B114" s="1713">
        <v>111</v>
      </c>
      <c r="C114" s="1714" t="s">
        <v>2479</v>
      </c>
      <c r="D114" s="1714">
        <v>53377</v>
      </c>
      <c r="E114" s="1714" t="s">
        <v>2651</v>
      </c>
      <c r="F114" s="1715" t="s">
        <v>2650</v>
      </c>
      <c r="G114" s="1684">
        <v>5.8760000000000003</v>
      </c>
      <c r="H114" s="1716">
        <v>0.90400000000000003</v>
      </c>
      <c r="I114" s="1716">
        <f t="shared" si="3"/>
        <v>4.9720000000000004</v>
      </c>
      <c r="J114" s="1717" t="s">
        <v>2649</v>
      </c>
      <c r="K114" s="1718">
        <v>9.8599999999999993E-2</v>
      </c>
      <c r="L114" s="1718"/>
      <c r="M114" s="1725" t="s">
        <v>2485</v>
      </c>
      <c r="N114" s="1738"/>
    </row>
    <row r="115" spans="1:14" ht="105" x14ac:dyDescent="0.25">
      <c r="A115" s="1723"/>
      <c r="B115" s="1713">
        <v>112</v>
      </c>
      <c r="C115" s="1714" t="s">
        <v>2479</v>
      </c>
      <c r="D115" s="1714">
        <v>53379</v>
      </c>
      <c r="E115" s="1714" t="s">
        <v>2648</v>
      </c>
      <c r="F115" s="1715" t="s">
        <v>2647</v>
      </c>
      <c r="G115" s="1684">
        <v>5.5124997999999996</v>
      </c>
      <c r="H115" s="1716">
        <v>0.88200000000000001</v>
      </c>
      <c r="I115" s="1716">
        <f t="shared" si="3"/>
        <v>4.6304997999999999</v>
      </c>
      <c r="J115" s="1717" t="s">
        <v>2646</v>
      </c>
      <c r="K115" s="1718">
        <v>9.8599999999999993E-2</v>
      </c>
      <c r="L115" s="1718"/>
      <c r="M115" s="1725" t="s">
        <v>2485</v>
      </c>
      <c r="N115" s="1738"/>
    </row>
    <row r="116" spans="1:14" ht="75" x14ac:dyDescent="0.25">
      <c r="A116" s="1723"/>
      <c r="B116" s="1713">
        <v>113</v>
      </c>
      <c r="C116" s="1714" t="s">
        <v>2479</v>
      </c>
      <c r="D116" s="1714">
        <v>53381</v>
      </c>
      <c r="E116" s="1714" t="s">
        <v>2645</v>
      </c>
      <c r="F116" s="1715" t="s">
        <v>2644</v>
      </c>
      <c r="G116" s="1684">
        <v>17.289903200000001</v>
      </c>
      <c r="H116" s="1716">
        <v>2.4695999999999998</v>
      </c>
      <c r="I116" s="1716">
        <f t="shared" si="3"/>
        <v>14.820303200000001</v>
      </c>
      <c r="J116" s="1717" t="s">
        <v>2643</v>
      </c>
      <c r="K116" s="1718">
        <v>0.1066</v>
      </c>
      <c r="L116" s="1718"/>
      <c r="M116" s="1725" t="s">
        <v>2485</v>
      </c>
      <c r="N116" s="1738"/>
    </row>
    <row r="117" spans="1:14" ht="135" x14ac:dyDescent="0.25">
      <c r="A117" s="1723"/>
      <c r="B117" s="1713">
        <v>114</v>
      </c>
      <c r="C117" s="1714" t="s">
        <v>2479</v>
      </c>
      <c r="D117" s="1714">
        <v>53382</v>
      </c>
      <c r="E117" s="1714" t="s">
        <v>2642</v>
      </c>
      <c r="F117" s="1715" t="s">
        <v>2641</v>
      </c>
      <c r="G117" s="1684">
        <v>9.4136000000000006</v>
      </c>
      <c r="H117" s="1716">
        <v>1.3448</v>
      </c>
      <c r="I117" s="1716">
        <f t="shared" si="3"/>
        <v>8.0688000000000013</v>
      </c>
      <c r="J117" s="1717" t="s">
        <v>2640</v>
      </c>
      <c r="K117" s="1718">
        <v>0.1008</v>
      </c>
      <c r="L117" s="1718"/>
      <c r="M117" s="1725" t="s">
        <v>2485</v>
      </c>
      <c r="N117" s="1738"/>
    </row>
    <row r="118" spans="1:14" ht="74.25" customHeight="1" x14ac:dyDescent="0.25">
      <c r="A118" s="1723"/>
      <c r="B118" s="1713">
        <v>115</v>
      </c>
      <c r="C118" s="1714" t="s">
        <v>2479</v>
      </c>
      <c r="D118" s="1714">
        <v>53383</v>
      </c>
      <c r="E118" s="1714" t="s">
        <v>2639</v>
      </c>
      <c r="F118" s="1715" t="s">
        <v>2638</v>
      </c>
      <c r="G118" s="1684">
        <v>9.5614854999999999</v>
      </c>
      <c r="H118" s="1716">
        <v>1.2336</v>
      </c>
      <c r="I118" s="1716">
        <f t="shared" si="3"/>
        <v>8.3278855000000007</v>
      </c>
      <c r="J118" s="1717" t="s">
        <v>2637</v>
      </c>
      <c r="K118" s="1718">
        <v>0.1046</v>
      </c>
      <c r="L118" s="1718"/>
      <c r="M118" s="1725" t="s">
        <v>2485</v>
      </c>
      <c r="N118" s="1738"/>
    </row>
    <row r="119" spans="1:14" ht="60" x14ac:dyDescent="0.25">
      <c r="A119" s="1723"/>
      <c r="B119" s="1713">
        <v>116</v>
      </c>
      <c r="C119" s="1714" t="s">
        <v>2479</v>
      </c>
      <c r="D119" s="1714">
        <v>53384</v>
      </c>
      <c r="E119" s="1714" t="s">
        <v>2636</v>
      </c>
      <c r="F119" s="1715" t="s">
        <v>2635</v>
      </c>
      <c r="G119" s="1684">
        <v>57.690738400000001</v>
      </c>
      <c r="H119" s="1716">
        <v>8.24</v>
      </c>
      <c r="I119" s="1716">
        <f t="shared" si="3"/>
        <v>49.450738399999999</v>
      </c>
      <c r="J119" s="1717" t="s">
        <v>2634</v>
      </c>
      <c r="K119" s="1718">
        <v>0.10630000000000001</v>
      </c>
      <c r="L119" s="1718"/>
      <c r="M119" s="1725" t="s">
        <v>2485</v>
      </c>
      <c r="N119" s="1738"/>
    </row>
    <row r="120" spans="1:14" ht="60" x14ac:dyDescent="0.25">
      <c r="A120" s="1723"/>
      <c r="B120" s="1713">
        <v>117</v>
      </c>
      <c r="C120" s="1714" t="s">
        <v>2479</v>
      </c>
      <c r="D120" s="1714">
        <v>53385</v>
      </c>
      <c r="E120" s="1714" t="s">
        <v>2633</v>
      </c>
      <c r="F120" s="1715" t="s">
        <v>2632</v>
      </c>
      <c r="G120" s="1684">
        <v>10.880226800000001</v>
      </c>
      <c r="H120" s="1716">
        <v>1.554</v>
      </c>
      <c r="I120" s="1716">
        <f t="shared" si="3"/>
        <v>9.3262268000000006</v>
      </c>
      <c r="J120" s="1717" t="s">
        <v>2631</v>
      </c>
      <c r="K120" s="1718">
        <v>0.10349999999999999</v>
      </c>
      <c r="L120" s="1718"/>
      <c r="M120" s="1725" t="s">
        <v>2588</v>
      </c>
      <c r="N120" s="1738"/>
    </row>
    <row r="121" spans="1:14" ht="105" x14ac:dyDescent="0.25">
      <c r="A121" s="1723"/>
      <c r="B121" s="1713">
        <v>118</v>
      </c>
      <c r="C121" s="1714" t="s">
        <v>2479</v>
      </c>
      <c r="D121" s="1714">
        <v>53387</v>
      </c>
      <c r="E121" s="1714" t="s">
        <v>2630</v>
      </c>
      <c r="F121" s="1715" t="s">
        <v>2629</v>
      </c>
      <c r="G121" s="1684">
        <v>6.4512</v>
      </c>
      <c r="H121" s="1716">
        <v>0.92159999999999997</v>
      </c>
      <c r="I121" s="1716">
        <f t="shared" si="3"/>
        <v>5.5296000000000003</v>
      </c>
      <c r="J121" s="1717" t="s">
        <v>2628</v>
      </c>
      <c r="K121" s="1718">
        <v>0.1008</v>
      </c>
      <c r="L121" s="1718"/>
      <c r="M121" s="1725" t="s">
        <v>2485</v>
      </c>
      <c r="N121" s="1738"/>
    </row>
    <row r="122" spans="1:14" ht="60" x14ac:dyDescent="0.25">
      <c r="A122" s="1723"/>
      <c r="B122" s="1713">
        <v>119</v>
      </c>
      <c r="C122" s="1714" t="s">
        <v>2479</v>
      </c>
      <c r="D122" s="1714">
        <v>53388</v>
      </c>
      <c r="E122" s="1714" t="s">
        <v>2627</v>
      </c>
      <c r="F122" s="1715" t="s">
        <v>2626</v>
      </c>
      <c r="G122" s="1684">
        <v>5.4758693999999997</v>
      </c>
      <c r="H122" s="1716">
        <v>0.78200000000000003</v>
      </c>
      <c r="I122" s="1716">
        <f t="shared" si="3"/>
        <v>4.6938693999999996</v>
      </c>
      <c r="J122" s="1717" t="s">
        <v>2625</v>
      </c>
      <c r="K122" s="1718">
        <v>0.1048</v>
      </c>
      <c r="L122" s="1718"/>
      <c r="M122" s="1725" t="s">
        <v>2588</v>
      </c>
      <c r="N122" s="1738"/>
    </row>
    <row r="123" spans="1:14" ht="75" x14ac:dyDescent="0.25">
      <c r="A123" s="1723"/>
      <c r="B123" s="1713">
        <v>120</v>
      </c>
      <c r="C123" s="1714" t="s">
        <v>2479</v>
      </c>
      <c r="D123" s="1714">
        <v>53389</v>
      </c>
      <c r="E123" s="1714" t="s">
        <v>2624</v>
      </c>
      <c r="F123" s="1715" t="s">
        <v>2623</v>
      </c>
      <c r="G123" s="1684">
        <v>6.5156670999999999</v>
      </c>
      <c r="H123" s="1716">
        <v>0.89839999999999998</v>
      </c>
      <c r="I123" s="1716">
        <f t="shared" si="3"/>
        <v>5.6172671000000003</v>
      </c>
      <c r="J123" s="1717" t="s">
        <v>2622</v>
      </c>
      <c r="K123" s="1718">
        <v>9.8599999999999993E-2</v>
      </c>
      <c r="L123" s="1718"/>
      <c r="M123" s="1725" t="s">
        <v>2485</v>
      </c>
      <c r="N123" s="1738"/>
    </row>
    <row r="124" spans="1:14" ht="90" x14ac:dyDescent="0.25">
      <c r="A124" s="1723"/>
      <c r="B124" s="1713">
        <v>121</v>
      </c>
      <c r="C124" s="1714" t="s">
        <v>2479</v>
      </c>
      <c r="D124" s="1714">
        <v>53390</v>
      </c>
      <c r="E124" s="1714" t="s">
        <v>2621</v>
      </c>
      <c r="F124" s="1715" t="s">
        <v>2620</v>
      </c>
      <c r="G124" s="1684">
        <v>14.205780000000001</v>
      </c>
      <c r="H124" s="1716">
        <v>1.1511</v>
      </c>
      <c r="I124" s="1716">
        <f t="shared" si="3"/>
        <v>13.054680000000001</v>
      </c>
      <c r="J124" s="1717" t="s">
        <v>2619</v>
      </c>
      <c r="K124" s="1718">
        <v>9.7799999999999998E-2</v>
      </c>
      <c r="L124" s="1718"/>
      <c r="M124" s="1725" t="s">
        <v>2485</v>
      </c>
      <c r="N124" s="1738"/>
    </row>
    <row r="125" spans="1:14" ht="85.15" customHeight="1" x14ac:dyDescent="0.25">
      <c r="A125" s="1723"/>
      <c r="B125" s="1713">
        <v>122</v>
      </c>
      <c r="C125" s="1714" t="s">
        <v>2479</v>
      </c>
      <c r="D125" s="1714">
        <v>53391</v>
      </c>
      <c r="E125" s="1714" t="s">
        <v>2618</v>
      </c>
      <c r="F125" s="1715" t="s">
        <v>2617</v>
      </c>
      <c r="G125" s="1684">
        <v>11.645877799999999</v>
      </c>
      <c r="H125" s="1716">
        <v>1.746</v>
      </c>
      <c r="I125" s="1716">
        <f t="shared" si="3"/>
        <v>9.8998777999999987</v>
      </c>
      <c r="J125" s="1717" t="s">
        <v>2616</v>
      </c>
      <c r="K125" s="1718">
        <v>9.7799999999999998E-2</v>
      </c>
      <c r="L125" s="1718"/>
      <c r="M125" s="1725" t="s">
        <v>2485</v>
      </c>
      <c r="N125" s="1738"/>
    </row>
    <row r="126" spans="1:14" ht="120" x14ac:dyDescent="0.25">
      <c r="A126" s="1723"/>
      <c r="B126" s="1713">
        <v>123</v>
      </c>
      <c r="C126" s="1714" t="s">
        <v>2479</v>
      </c>
      <c r="D126" s="1714">
        <v>53392</v>
      </c>
      <c r="E126" s="1714" t="s">
        <v>2615</v>
      </c>
      <c r="F126" s="1715" t="s">
        <v>2614</v>
      </c>
      <c r="G126" s="1684">
        <v>7.420248</v>
      </c>
      <c r="H126" s="1716">
        <v>0</v>
      </c>
      <c r="I126" s="1716">
        <f t="shared" si="3"/>
        <v>7.420248</v>
      </c>
      <c r="J126" s="1717" t="s">
        <v>2613</v>
      </c>
      <c r="K126" s="1718">
        <v>9.7799999999999998E-2</v>
      </c>
      <c r="L126" s="1718"/>
      <c r="M126" s="1725" t="s">
        <v>2485</v>
      </c>
      <c r="N126" s="1738"/>
    </row>
    <row r="127" spans="1:14" ht="60" x14ac:dyDescent="0.25">
      <c r="A127" s="1723"/>
      <c r="B127" s="1713">
        <v>124</v>
      </c>
      <c r="C127" s="1714" t="s">
        <v>2479</v>
      </c>
      <c r="D127" s="1714">
        <v>53393</v>
      </c>
      <c r="E127" s="1714" t="s">
        <v>2612</v>
      </c>
      <c r="F127" s="1715" t="s">
        <v>2611</v>
      </c>
      <c r="G127" s="1684">
        <v>0</v>
      </c>
      <c r="H127" s="1716">
        <v>0</v>
      </c>
      <c r="I127" s="1716">
        <f t="shared" si="3"/>
        <v>0</v>
      </c>
      <c r="J127" s="1717" t="s">
        <v>2610</v>
      </c>
      <c r="K127" s="1718"/>
      <c r="L127" s="1718"/>
      <c r="M127" s="1725" t="s">
        <v>2485</v>
      </c>
      <c r="N127" s="1738"/>
    </row>
    <row r="128" spans="1:14" ht="90" x14ac:dyDescent="0.25">
      <c r="A128" s="1723"/>
      <c r="B128" s="1713">
        <v>125</v>
      </c>
      <c r="C128" s="1714" t="s">
        <v>2479</v>
      </c>
      <c r="D128" s="1714">
        <v>53394</v>
      </c>
      <c r="E128" s="1714" t="s">
        <v>2609</v>
      </c>
      <c r="F128" s="1715" t="s">
        <v>2608</v>
      </c>
      <c r="G128" s="1684">
        <v>8.0041344999999993</v>
      </c>
      <c r="H128" s="1716">
        <v>1.0671999999999999</v>
      </c>
      <c r="I128" s="1716">
        <f t="shared" si="3"/>
        <v>6.9369344999999996</v>
      </c>
      <c r="J128" s="1717" t="s">
        <v>2607</v>
      </c>
      <c r="K128" s="1718">
        <v>0.1038</v>
      </c>
      <c r="L128" s="1718"/>
      <c r="M128" s="1725" t="s">
        <v>2485</v>
      </c>
      <c r="N128" s="1738"/>
    </row>
    <row r="129" spans="1:14" ht="90" x14ac:dyDescent="0.25">
      <c r="A129" s="1723"/>
      <c r="B129" s="1713">
        <v>126</v>
      </c>
      <c r="C129" s="1714" t="s">
        <v>2479</v>
      </c>
      <c r="D129" s="1714">
        <v>53395</v>
      </c>
      <c r="E129" s="1714" t="s">
        <v>2606</v>
      </c>
      <c r="F129" s="1715" t="s">
        <v>2605</v>
      </c>
      <c r="G129" s="1684">
        <v>6.2682000000000002</v>
      </c>
      <c r="H129" s="1716">
        <v>0.80879999999999996</v>
      </c>
      <c r="I129" s="1716">
        <f t="shared" si="3"/>
        <v>5.4594000000000005</v>
      </c>
      <c r="J129" s="1717" t="s">
        <v>2604</v>
      </c>
      <c r="K129" s="1718">
        <v>0.11269999999999999</v>
      </c>
      <c r="L129" s="1718"/>
      <c r="M129" s="1725" t="s">
        <v>2485</v>
      </c>
      <c r="N129" s="1738"/>
    </row>
    <row r="130" spans="1:14" ht="135" x14ac:dyDescent="0.25">
      <c r="A130" s="1723"/>
      <c r="B130" s="1713">
        <v>127</v>
      </c>
      <c r="C130" s="1714" t="s">
        <v>2479</v>
      </c>
      <c r="D130" s="1714">
        <v>53396</v>
      </c>
      <c r="E130" s="1714" t="s">
        <v>2603</v>
      </c>
      <c r="F130" s="1715" t="s">
        <v>2602</v>
      </c>
      <c r="G130" s="1684">
        <v>7.2118501000000004</v>
      </c>
      <c r="H130" s="1716">
        <v>0.9304</v>
      </c>
      <c r="I130" s="1716">
        <f t="shared" si="3"/>
        <v>6.2814501000000007</v>
      </c>
      <c r="J130" s="1717" t="s">
        <v>2601</v>
      </c>
      <c r="K130" s="1718">
        <v>0.10290000000000001</v>
      </c>
      <c r="L130" s="1718"/>
      <c r="M130" s="1725" t="s">
        <v>2485</v>
      </c>
      <c r="N130" s="1738"/>
    </row>
    <row r="131" spans="1:14" ht="82.15" customHeight="1" x14ac:dyDescent="0.25">
      <c r="A131" s="1723"/>
      <c r="B131" s="1713">
        <v>128</v>
      </c>
      <c r="C131" s="1714" t="s">
        <v>2479</v>
      </c>
      <c r="D131" s="1714">
        <v>53397</v>
      </c>
      <c r="E131" s="1714" t="s">
        <v>2600</v>
      </c>
      <c r="F131" s="1715" t="s">
        <v>2599</v>
      </c>
      <c r="G131" s="1684">
        <v>6.7874227579999999</v>
      </c>
      <c r="H131" s="1716">
        <v>0.80640000000000001</v>
      </c>
      <c r="I131" s="1716">
        <f t="shared" si="3"/>
        <v>5.9810227579999999</v>
      </c>
      <c r="J131" s="1717" t="s">
        <v>2598</v>
      </c>
      <c r="K131" s="1718">
        <v>9.7799999999999998E-2</v>
      </c>
      <c r="L131" s="1718"/>
      <c r="M131" s="1725" t="s">
        <v>2588</v>
      </c>
      <c r="N131" s="1738"/>
    </row>
    <row r="132" spans="1:14" ht="75" x14ac:dyDescent="0.25">
      <c r="A132" s="1723"/>
      <c r="B132" s="1713">
        <v>129</v>
      </c>
      <c r="C132" s="1714" t="s">
        <v>2479</v>
      </c>
      <c r="D132" s="1714">
        <v>53398</v>
      </c>
      <c r="E132" s="1714" t="s">
        <v>2597</v>
      </c>
      <c r="F132" s="1715" t="s">
        <v>2596</v>
      </c>
      <c r="G132" s="1684">
        <v>5.2457022999999996</v>
      </c>
      <c r="H132" s="1716">
        <v>0.67679999999999996</v>
      </c>
      <c r="I132" s="1716">
        <f t="shared" ref="I132:I163" si="4">G132-H132</f>
        <v>4.5689022999999995</v>
      </c>
      <c r="J132" s="1717" t="s">
        <v>2595</v>
      </c>
      <c r="K132" s="1718">
        <v>0.107</v>
      </c>
      <c r="L132" s="1718"/>
      <c r="M132" s="1725" t="s">
        <v>2588</v>
      </c>
      <c r="N132" s="1738"/>
    </row>
    <row r="133" spans="1:14" ht="75" x14ac:dyDescent="0.25">
      <c r="A133" s="1723"/>
      <c r="B133" s="1713">
        <v>130</v>
      </c>
      <c r="C133" s="1714" t="s">
        <v>2479</v>
      </c>
      <c r="D133" s="1714">
        <v>53399</v>
      </c>
      <c r="E133" s="1714" t="s">
        <v>2594</v>
      </c>
      <c r="F133" s="1715" t="s">
        <v>2593</v>
      </c>
      <c r="G133" s="1684">
        <v>1.53</v>
      </c>
      <c r="H133" s="1716">
        <v>0.2</v>
      </c>
      <c r="I133" s="1716">
        <f t="shared" si="4"/>
        <v>1.33</v>
      </c>
      <c r="J133" s="1717" t="s">
        <v>2592</v>
      </c>
      <c r="K133" s="1718">
        <v>0.10630000000000001</v>
      </c>
      <c r="L133" s="1718"/>
      <c r="M133" s="1725" t="s">
        <v>2588</v>
      </c>
      <c r="N133" s="1738"/>
    </row>
    <row r="134" spans="1:14" ht="75" x14ac:dyDescent="0.25">
      <c r="A134" s="1723"/>
      <c r="B134" s="1713">
        <v>131</v>
      </c>
      <c r="C134" s="1714" t="s">
        <v>2479</v>
      </c>
      <c r="D134" s="1714">
        <v>53400</v>
      </c>
      <c r="E134" s="1714" t="s">
        <v>2591</v>
      </c>
      <c r="F134" s="1715" t="s">
        <v>2590</v>
      </c>
      <c r="G134" s="1684">
        <v>6.7519999999999998</v>
      </c>
      <c r="H134" s="1716">
        <v>0.84399999999999997</v>
      </c>
      <c r="I134" s="1716">
        <f t="shared" si="4"/>
        <v>5.9079999999999995</v>
      </c>
      <c r="J134" s="1717" t="s">
        <v>2589</v>
      </c>
      <c r="K134" s="1718">
        <v>0.10589999999999999</v>
      </c>
      <c r="L134" s="1718"/>
      <c r="M134" s="1725" t="s">
        <v>2588</v>
      </c>
      <c r="N134" s="1738"/>
    </row>
    <row r="135" spans="1:14" ht="135" x14ac:dyDescent="0.25">
      <c r="A135" s="1723"/>
      <c r="B135" s="1713">
        <v>132</v>
      </c>
      <c r="C135" s="1714" t="s">
        <v>2479</v>
      </c>
      <c r="D135" s="1714">
        <v>53551</v>
      </c>
      <c r="E135" s="1714" t="s">
        <v>2587</v>
      </c>
      <c r="F135" s="1715" t="s">
        <v>2586</v>
      </c>
      <c r="G135" s="1684">
        <v>9.2517163999999994</v>
      </c>
      <c r="H135" s="1716">
        <v>1.276</v>
      </c>
      <c r="I135" s="1716">
        <f t="shared" si="4"/>
        <v>7.9757163999999996</v>
      </c>
      <c r="J135" s="1717" t="s">
        <v>2585</v>
      </c>
      <c r="K135" s="1718">
        <v>0.10440000000000001</v>
      </c>
      <c r="L135" s="1718"/>
      <c r="M135" s="1725" t="s">
        <v>2485</v>
      </c>
      <c r="N135" s="1738"/>
    </row>
    <row r="136" spans="1:14" ht="75" x14ac:dyDescent="0.25">
      <c r="A136" s="1723"/>
      <c r="B136" s="1713">
        <v>133</v>
      </c>
      <c r="C136" s="1714" t="s">
        <v>2479</v>
      </c>
      <c r="D136" s="1714">
        <v>53552</v>
      </c>
      <c r="E136" s="1714" t="s">
        <v>2584</v>
      </c>
      <c r="F136" s="1715" t="s">
        <v>2583</v>
      </c>
      <c r="G136" s="1684">
        <v>8.0835551999999993</v>
      </c>
      <c r="H136" s="1716">
        <v>1.0104</v>
      </c>
      <c r="I136" s="1716">
        <f t="shared" si="4"/>
        <v>7.0731551999999995</v>
      </c>
      <c r="J136" s="1717" t="s">
        <v>2582</v>
      </c>
      <c r="K136" s="1718">
        <v>9.7799999999999998E-2</v>
      </c>
      <c r="L136" s="1718"/>
      <c r="M136" s="1725" t="s">
        <v>2485</v>
      </c>
      <c r="N136" s="1738"/>
    </row>
    <row r="137" spans="1:14" ht="90" x14ac:dyDescent="0.25">
      <c r="A137" s="1723"/>
      <c r="B137" s="1713">
        <v>134</v>
      </c>
      <c r="C137" s="1714" t="s">
        <v>2479</v>
      </c>
      <c r="D137" s="1714">
        <v>53553</v>
      </c>
      <c r="E137" s="1714" t="s">
        <v>2581</v>
      </c>
      <c r="F137" s="1715" t="s">
        <v>2580</v>
      </c>
      <c r="G137" s="1684">
        <v>8.8674158999999992</v>
      </c>
      <c r="H137" s="1716">
        <v>1.0968</v>
      </c>
      <c r="I137" s="1716">
        <f t="shared" si="4"/>
        <v>7.7706158999999992</v>
      </c>
      <c r="J137" s="1717" t="s">
        <v>2579</v>
      </c>
      <c r="K137" s="1718">
        <v>9.7799999999999998E-2</v>
      </c>
      <c r="L137" s="1718"/>
      <c r="M137" s="1725" t="s">
        <v>2485</v>
      </c>
      <c r="N137" s="1738"/>
    </row>
    <row r="138" spans="1:14" ht="75" x14ac:dyDescent="0.25">
      <c r="A138" s="1723"/>
      <c r="B138" s="1713">
        <v>135</v>
      </c>
      <c r="C138" s="1714" t="s">
        <v>2479</v>
      </c>
      <c r="D138" s="1714">
        <v>53554</v>
      </c>
      <c r="E138" s="1714" t="s">
        <v>2578</v>
      </c>
      <c r="F138" s="1715" t="s">
        <v>2577</v>
      </c>
      <c r="G138" s="1684">
        <v>11.98925</v>
      </c>
      <c r="H138" s="1716">
        <v>1.5468</v>
      </c>
      <c r="I138" s="1716">
        <f t="shared" si="4"/>
        <v>10.442450000000001</v>
      </c>
      <c r="J138" s="1717" t="s">
        <v>2576</v>
      </c>
      <c r="K138" s="1718">
        <v>0.1095</v>
      </c>
      <c r="L138" s="1718"/>
      <c r="M138" s="1725" t="s">
        <v>2485</v>
      </c>
      <c r="N138" s="1738"/>
    </row>
    <row r="139" spans="1:14" ht="135" x14ac:dyDescent="0.25">
      <c r="A139" s="1723"/>
      <c r="B139" s="1713">
        <v>136</v>
      </c>
      <c r="C139" s="1714" t="s">
        <v>2479</v>
      </c>
      <c r="D139" s="1714">
        <v>53555</v>
      </c>
      <c r="E139" s="1714" t="s">
        <v>2575</v>
      </c>
      <c r="F139" s="1715" t="s">
        <v>2574</v>
      </c>
      <c r="G139" s="1684">
        <v>8.3300608999999994</v>
      </c>
      <c r="H139" s="1716">
        <v>0.28000000000000003</v>
      </c>
      <c r="I139" s="1716">
        <f t="shared" si="4"/>
        <v>8.0500609000000001</v>
      </c>
      <c r="J139" s="1717" t="s">
        <v>2573</v>
      </c>
      <c r="K139" s="1718">
        <v>9.7799999999999998E-2</v>
      </c>
      <c r="L139" s="1718"/>
      <c r="M139" s="1725" t="s">
        <v>2485</v>
      </c>
      <c r="N139" s="1738"/>
    </row>
    <row r="140" spans="1:14" ht="135" x14ac:dyDescent="0.25">
      <c r="A140" s="1723"/>
      <c r="B140" s="1713">
        <v>137</v>
      </c>
      <c r="C140" s="1714" t="s">
        <v>2479</v>
      </c>
      <c r="D140" s="1714">
        <v>53556</v>
      </c>
      <c r="E140" s="1714" t="s">
        <v>2572</v>
      </c>
      <c r="F140" s="1715" t="s">
        <v>2571</v>
      </c>
      <c r="G140" s="1684">
        <v>17.978744800000001</v>
      </c>
      <c r="H140" s="1716">
        <v>0.18</v>
      </c>
      <c r="I140" s="1716">
        <f t="shared" si="4"/>
        <v>17.798744800000001</v>
      </c>
      <c r="J140" s="1717" t="s">
        <v>2570</v>
      </c>
      <c r="K140" s="1718">
        <v>9.7799999999999998E-2</v>
      </c>
      <c r="L140" s="1718"/>
      <c r="M140" s="1725" t="s">
        <v>2485</v>
      </c>
      <c r="N140" s="1738"/>
    </row>
    <row r="141" spans="1:14" ht="60" x14ac:dyDescent="0.25">
      <c r="A141" s="1723"/>
      <c r="B141" s="1713">
        <v>138</v>
      </c>
      <c r="C141" s="1714" t="s">
        <v>2479</v>
      </c>
      <c r="D141" s="1714">
        <v>53562</v>
      </c>
      <c r="E141" s="1714" t="s">
        <v>2569</v>
      </c>
      <c r="F141" s="1715" t="s">
        <v>2568</v>
      </c>
      <c r="G141" s="1684">
        <v>5.1847764999999999</v>
      </c>
      <c r="H141" s="1716">
        <v>0.71</v>
      </c>
      <c r="I141" s="1716">
        <f t="shared" si="4"/>
        <v>4.4747764999999999</v>
      </c>
      <c r="J141" s="1717" t="s">
        <v>2567</v>
      </c>
      <c r="K141" s="1718">
        <v>9.7799999999999998E-2</v>
      </c>
      <c r="L141" s="1718"/>
      <c r="M141" s="1725" t="s">
        <v>2485</v>
      </c>
      <c r="N141" s="1738"/>
    </row>
    <row r="142" spans="1:14" ht="75" x14ac:dyDescent="0.25">
      <c r="A142" s="1723"/>
      <c r="B142" s="1713">
        <v>139</v>
      </c>
      <c r="C142" s="1714" t="s">
        <v>2479</v>
      </c>
      <c r="D142" s="1714">
        <v>53563</v>
      </c>
      <c r="E142" s="1714" t="s">
        <v>2566</v>
      </c>
      <c r="F142" s="1715" t="s">
        <v>2565</v>
      </c>
      <c r="G142" s="1684">
        <v>17.3596675</v>
      </c>
      <c r="H142" s="1716">
        <v>2.1924000000000001</v>
      </c>
      <c r="I142" s="1716">
        <f t="shared" si="4"/>
        <v>15.167267500000001</v>
      </c>
      <c r="J142" s="1717" t="s">
        <v>2564</v>
      </c>
      <c r="K142" s="1718">
        <v>9.7799999999999998E-2</v>
      </c>
      <c r="L142" s="1718"/>
      <c r="M142" s="1725" t="s">
        <v>2485</v>
      </c>
      <c r="N142" s="1739"/>
    </row>
    <row r="143" spans="1:14" ht="45" x14ac:dyDescent="0.25">
      <c r="A143" s="1723"/>
      <c r="B143" s="1713">
        <v>140</v>
      </c>
      <c r="C143" s="1714" t="s">
        <v>2479</v>
      </c>
      <c r="D143" s="1714">
        <v>53564</v>
      </c>
      <c r="E143" s="1714" t="s">
        <v>2563</v>
      </c>
      <c r="F143" s="1715" t="s">
        <v>2562</v>
      </c>
      <c r="G143" s="1684">
        <v>7.86592</v>
      </c>
      <c r="H143" s="1716">
        <v>0</v>
      </c>
      <c r="I143" s="1716">
        <f t="shared" si="4"/>
        <v>7.86592</v>
      </c>
      <c r="J143" s="1717" t="s">
        <v>2561</v>
      </c>
      <c r="K143" s="1718">
        <v>0.1075</v>
      </c>
      <c r="L143" s="1718"/>
      <c r="M143" s="1725" t="s">
        <v>2485</v>
      </c>
      <c r="N143" s="1738"/>
    </row>
    <row r="144" spans="1:14" ht="105" x14ac:dyDescent="0.25">
      <c r="A144" s="1723"/>
      <c r="B144" s="1713">
        <v>141</v>
      </c>
      <c r="C144" s="1714" t="s">
        <v>2479</v>
      </c>
      <c r="D144" s="1714">
        <v>53565</v>
      </c>
      <c r="E144" s="1714" t="s">
        <v>2560</v>
      </c>
      <c r="F144" s="1715" t="s">
        <v>2559</v>
      </c>
      <c r="G144" s="1684">
        <v>18.5406552</v>
      </c>
      <c r="H144" s="1716">
        <v>0</v>
      </c>
      <c r="I144" s="1716">
        <f t="shared" si="4"/>
        <v>18.5406552</v>
      </c>
      <c r="J144" s="1717" t="s">
        <v>2558</v>
      </c>
      <c r="K144" s="1718">
        <v>0.1075</v>
      </c>
      <c r="L144" s="1718"/>
      <c r="M144" s="1725" t="s">
        <v>2485</v>
      </c>
      <c r="N144" s="1738"/>
    </row>
    <row r="145" spans="1:14" ht="120" x14ac:dyDescent="0.25">
      <c r="A145" s="1723"/>
      <c r="B145" s="1713">
        <v>142</v>
      </c>
      <c r="C145" s="1714" t="s">
        <v>2479</v>
      </c>
      <c r="D145" s="1714">
        <v>53566</v>
      </c>
      <c r="E145" s="1714" t="s">
        <v>2557</v>
      </c>
      <c r="F145" s="1715" t="s">
        <v>2556</v>
      </c>
      <c r="G145" s="1684">
        <v>17.1200008</v>
      </c>
      <c r="H145" s="1716">
        <v>2.1395999999999997</v>
      </c>
      <c r="I145" s="1716">
        <f t="shared" si="4"/>
        <v>14.9804008</v>
      </c>
      <c r="J145" s="1717" t="s">
        <v>2555</v>
      </c>
      <c r="K145" s="1718">
        <v>9.7799999999999998E-2</v>
      </c>
      <c r="L145" s="1718"/>
      <c r="M145" s="1725" t="s">
        <v>2520</v>
      </c>
      <c r="N145" s="1738"/>
    </row>
    <row r="146" spans="1:14" ht="210" x14ac:dyDescent="0.25">
      <c r="A146" s="1723"/>
      <c r="B146" s="1713">
        <v>143</v>
      </c>
      <c r="C146" s="1714" t="s">
        <v>2479</v>
      </c>
      <c r="D146" s="1714">
        <v>53568</v>
      </c>
      <c r="E146" s="1714" t="s">
        <v>2554</v>
      </c>
      <c r="F146" s="1715" t="s">
        <v>2553</v>
      </c>
      <c r="G146" s="1684">
        <v>8.4149999999999991</v>
      </c>
      <c r="H146" s="1716">
        <v>0.76</v>
      </c>
      <c r="I146" s="1716">
        <f t="shared" si="4"/>
        <v>7.6549999999999994</v>
      </c>
      <c r="J146" s="1717" t="s">
        <v>2552</v>
      </c>
      <c r="K146" s="1718">
        <v>9.7799999999999998E-2</v>
      </c>
      <c r="L146" s="1718"/>
      <c r="M146" s="1725" t="s">
        <v>2520</v>
      </c>
      <c r="N146" s="1738"/>
    </row>
    <row r="147" spans="1:14" ht="45" x14ac:dyDescent="0.25">
      <c r="A147" s="1723"/>
      <c r="B147" s="1713">
        <v>144</v>
      </c>
      <c r="C147" s="1714" t="s">
        <v>2479</v>
      </c>
      <c r="D147" s="1714">
        <v>53569</v>
      </c>
      <c r="E147" s="1714" t="s">
        <v>2551</v>
      </c>
      <c r="F147" s="1715" t="s">
        <v>2550</v>
      </c>
      <c r="G147" s="1684">
        <v>1.2502884999999999</v>
      </c>
      <c r="H147" s="1716">
        <v>0</v>
      </c>
      <c r="I147" s="1716">
        <f t="shared" si="4"/>
        <v>1.2502884999999999</v>
      </c>
      <c r="J147" s="1717" t="s">
        <v>2505</v>
      </c>
      <c r="K147" s="1718">
        <v>9.7799999999999998E-2</v>
      </c>
      <c r="L147" s="1718"/>
      <c r="M147" s="1725" t="s">
        <v>2485</v>
      </c>
      <c r="N147" s="1738"/>
    </row>
    <row r="148" spans="1:14" ht="195" x14ac:dyDescent="0.25">
      <c r="A148" s="1723"/>
      <c r="B148" s="1713">
        <v>145</v>
      </c>
      <c r="C148" s="1714" t="s">
        <v>2479</v>
      </c>
      <c r="D148" s="1714">
        <v>53571</v>
      </c>
      <c r="E148" s="1714" t="s">
        <v>2549</v>
      </c>
      <c r="F148" s="1715" t="s">
        <v>2548</v>
      </c>
      <c r="G148" s="1684">
        <v>12.826558800000001</v>
      </c>
      <c r="H148" s="1716">
        <v>0</v>
      </c>
      <c r="I148" s="1716">
        <f t="shared" si="4"/>
        <v>12.826558800000001</v>
      </c>
      <c r="J148" s="1717" t="s">
        <v>2503</v>
      </c>
      <c r="K148" s="1718">
        <v>9.7799999999999998E-2</v>
      </c>
      <c r="L148" s="1718"/>
      <c r="M148" s="1725" t="s">
        <v>2485</v>
      </c>
      <c r="N148" s="1738"/>
    </row>
    <row r="149" spans="1:14" ht="75" x14ac:dyDescent="0.25">
      <c r="A149" s="1723"/>
      <c r="B149" s="1713">
        <v>146</v>
      </c>
      <c r="C149" s="1714" t="s">
        <v>2479</v>
      </c>
      <c r="D149" s="1714">
        <v>53572</v>
      </c>
      <c r="E149" s="1714" t="s">
        <v>2547</v>
      </c>
      <c r="F149" s="1715" t="s">
        <v>2546</v>
      </c>
      <c r="G149" s="1684">
        <v>7.2428125000000003</v>
      </c>
      <c r="H149" s="1716">
        <v>1.1280000000000001</v>
      </c>
      <c r="I149" s="1716">
        <f t="shared" si="4"/>
        <v>6.1148125000000002</v>
      </c>
      <c r="J149" s="1717" t="s">
        <v>2545</v>
      </c>
      <c r="K149" s="1718">
        <v>9.7799999999999998E-2</v>
      </c>
      <c r="L149" s="1718"/>
      <c r="M149" s="1725" t="s">
        <v>2520</v>
      </c>
      <c r="N149" s="1738"/>
    </row>
    <row r="150" spans="1:14" ht="60" x14ac:dyDescent="0.25">
      <c r="A150" s="1723"/>
      <c r="B150" s="1713">
        <v>147</v>
      </c>
      <c r="C150" s="1714" t="s">
        <v>2479</v>
      </c>
      <c r="D150" s="1714">
        <v>53573</v>
      </c>
      <c r="E150" s="1714" t="s">
        <v>2544</v>
      </c>
      <c r="F150" s="1715" t="s">
        <v>2543</v>
      </c>
      <c r="G150" s="1684">
        <v>3.3270206999999998</v>
      </c>
      <c r="H150" s="1716">
        <v>0</v>
      </c>
      <c r="I150" s="1716">
        <f t="shared" si="4"/>
        <v>3.3270206999999998</v>
      </c>
      <c r="J150" s="1717" t="s">
        <v>2542</v>
      </c>
      <c r="K150" s="1718">
        <v>0.1075</v>
      </c>
      <c r="L150" s="1718"/>
      <c r="M150" s="1725" t="s">
        <v>2485</v>
      </c>
      <c r="N150" s="1738"/>
    </row>
    <row r="151" spans="1:14" ht="75" x14ac:dyDescent="0.25">
      <c r="A151" s="1723"/>
      <c r="B151" s="1713">
        <v>148</v>
      </c>
      <c r="C151" s="1714" t="s">
        <v>2479</v>
      </c>
      <c r="D151" s="1714">
        <v>53574</v>
      </c>
      <c r="E151" s="1714" t="s">
        <v>2541</v>
      </c>
      <c r="F151" s="1715" t="s">
        <v>2540</v>
      </c>
      <c r="G151" s="1684">
        <v>10.542</v>
      </c>
      <c r="H151" s="1716">
        <v>1.506</v>
      </c>
      <c r="I151" s="1716">
        <f t="shared" si="4"/>
        <v>9.0359999999999996</v>
      </c>
      <c r="J151" s="1717" t="s">
        <v>2539</v>
      </c>
      <c r="K151" s="1718">
        <v>9.7799999999999998E-2</v>
      </c>
      <c r="L151" s="1718"/>
      <c r="M151" s="1725" t="s">
        <v>2485</v>
      </c>
      <c r="N151" s="1738"/>
    </row>
    <row r="152" spans="1:14" ht="75" x14ac:dyDescent="0.25">
      <c r="A152" s="1723"/>
      <c r="B152" s="1713">
        <v>149</v>
      </c>
      <c r="C152" s="1714" t="s">
        <v>2479</v>
      </c>
      <c r="D152" s="1714">
        <v>53575</v>
      </c>
      <c r="E152" s="1714" t="s">
        <v>2538</v>
      </c>
      <c r="F152" s="1715" t="s">
        <v>2537</v>
      </c>
      <c r="G152" s="1684">
        <v>7.1133328000000002</v>
      </c>
      <c r="H152" s="1716">
        <v>1.0668000000000002</v>
      </c>
      <c r="I152" s="1716">
        <f t="shared" si="4"/>
        <v>6.0465327999999996</v>
      </c>
      <c r="J152" s="1717" t="s">
        <v>2536</v>
      </c>
      <c r="K152" s="1718">
        <v>9.7799999999999998E-2</v>
      </c>
      <c r="L152" s="1718"/>
      <c r="M152" s="1725" t="s">
        <v>2485</v>
      </c>
      <c r="N152" s="1738"/>
    </row>
    <row r="153" spans="1:14" ht="78" customHeight="1" x14ac:dyDescent="0.25">
      <c r="A153" s="1723"/>
      <c r="B153" s="1713">
        <v>150</v>
      </c>
      <c r="C153" s="1714" t="s">
        <v>2479</v>
      </c>
      <c r="D153" s="1714">
        <v>53576</v>
      </c>
      <c r="E153" s="1714" t="s">
        <v>2535</v>
      </c>
      <c r="F153" s="1715" t="s">
        <v>2534</v>
      </c>
      <c r="G153" s="1684">
        <v>6.9073672999999998</v>
      </c>
      <c r="H153" s="1716">
        <v>0.84000000000000008</v>
      </c>
      <c r="I153" s="1716">
        <f t="shared" si="4"/>
        <v>6.0673672999999999</v>
      </c>
      <c r="J153" s="1717" t="s">
        <v>2533</v>
      </c>
      <c r="K153" s="1718">
        <v>9.7799999999999998E-2</v>
      </c>
      <c r="L153" s="1718"/>
      <c r="M153" s="1725" t="s">
        <v>2485</v>
      </c>
      <c r="N153" s="1738"/>
    </row>
    <row r="154" spans="1:14" ht="99.75" customHeight="1" x14ac:dyDescent="0.25">
      <c r="A154" s="1723"/>
      <c r="B154" s="1713">
        <v>151</v>
      </c>
      <c r="C154" s="1714" t="s">
        <v>2479</v>
      </c>
      <c r="D154" s="1714">
        <v>53577</v>
      </c>
      <c r="E154" s="1714" t="s">
        <v>2532</v>
      </c>
      <c r="F154" s="1715" t="s">
        <v>2531</v>
      </c>
      <c r="G154" s="1684">
        <v>6.6738350000000004</v>
      </c>
      <c r="H154" s="1716">
        <v>0</v>
      </c>
      <c r="I154" s="1716">
        <f t="shared" si="4"/>
        <v>6.6738350000000004</v>
      </c>
      <c r="J154" s="1717" t="s">
        <v>2530</v>
      </c>
      <c r="K154" s="1718">
        <v>0.1085</v>
      </c>
      <c r="L154" s="1718"/>
      <c r="M154" s="1725" t="s">
        <v>2485</v>
      </c>
      <c r="N154" s="1738"/>
    </row>
    <row r="155" spans="1:14" ht="90" x14ac:dyDescent="0.25">
      <c r="A155" s="1723"/>
      <c r="B155" s="1713">
        <v>152</v>
      </c>
      <c r="C155" s="1714" t="s">
        <v>2479</v>
      </c>
      <c r="D155" s="1714">
        <v>53580</v>
      </c>
      <c r="E155" s="1714" t="s">
        <v>2529</v>
      </c>
      <c r="F155" s="1715" t="s">
        <v>2528</v>
      </c>
      <c r="G155" s="1684">
        <v>7.8844368999999999</v>
      </c>
      <c r="H155" s="1716">
        <v>0.29009999999999997</v>
      </c>
      <c r="I155" s="1716">
        <f t="shared" si="4"/>
        <v>7.5943369000000001</v>
      </c>
      <c r="J155" s="1717" t="s">
        <v>2527</v>
      </c>
      <c r="K155" s="1718">
        <v>9.7799999999999998E-2</v>
      </c>
      <c r="L155" s="1718"/>
      <c r="M155" s="1725" t="s">
        <v>2520</v>
      </c>
      <c r="N155" s="1738"/>
    </row>
    <row r="156" spans="1:14" ht="105" x14ac:dyDescent="0.25">
      <c r="A156" s="1723"/>
      <c r="B156" s="1713">
        <v>153</v>
      </c>
      <c r="C156" s="1714" t="s">
        <v>2479</v>
      </c>
      <c r="D156" s="1714">
        <v>53581</v>
      </c>
      <c r="E156" s="1714" t="s">
        <v>2526</v>
      </c>
      <c r="F156" s="1715" t="s">
        <v>2525</v>
      </c>
      <c r="G156" s="1684">
        <v>5.8937631000000001</v>
      </c>
      <c r="H156" s="1716">
        <v>0.2</v>
      </c>
      <c r="I156" s="1716">
        <f t="shared" si="4"/>
        <v>5.6937631</v>
      </c>
      <c r="J156" s="1717" t="s">
        <v>2524</v>
      </c>
      <c r="K156" s="1718">
        <v>9.7799999999999998E-2</v>
      </c>
      <c r="L156" s="1718"/>
      <c r="M156" s="1725" t="s">
        <v>2520</v>
      </c>
      <c r="N156" s="1738"/>
    </row>
    <row r="157" spans="1:14" ht="60" x14ac:dyDescent="0.25">
      <c r="A157" s="1723"/>
      <c r="B157" s="1713">
        <v>154</v>
      </c>
      <c r="C157" s="1714" t="s">
        <v>2479</v>
      </c>
      <c r="D157" s="1714">
        <v>53584</v>
      </c>
      <c r="E157" s="1714" t="s">
        <v>2523</v>
      </c>
      <c r="F157" s="1715" t="s">
        <v>2522</v>
      </c>
      <c r="G157" s="1684">
        <v>5.0214591999999998</v>
      </c>
      <c r="H157" s="1716">
        <v>0.83691000000000004</v>
      </c>
      <c r="I157" s="1716">
        <f t="shared" si="4"/>
        <v>4.1845491999999993</v>
      </c>
      <c r="J157" s="1717" t="s">
        <v>2521</v>
      </c>
      <c r="K157" s="1718">
        <v>9.7799999999999998E-2</v>
      </c>
      <c r="L157" s="1718"/>
      <c r="M157" s="1725" t="s">
        <v>2520</v>
      </c>
      <c r="N157" s="1739"/>
    </row>
    <row r="158" spans="1:14" ht="75" x14ac:dyDescent="0.25">
      <c r="A158" s="1723"/>
      <c r="B158" s="1713">
        <v>155</v>
      </c>
      <c r="C158" s="1714" t="s">
        <v>2479</v>
      </c>
      <c r="D158" s="1714">
        <v>53585</v>
      </c>
      <c r="E158" s="1714" t="s">
        <v>2519</v>
      </c>
      <c r="F158" s="1715" t="s">
        <v>2518</v>
      </c>
      <c r="G158" s="1684">
        <v>14.261146399999999</v>
      </c>
      <c r="H158" s="1716">
        <v>2.1659999999999999</v>
      </c>
      <c r="I158" s="1716">
        <f t="shared" si="4"/>
        <v>12.095146399999999</v>
      </c>
      <c r="J158" s="1717" t="s">
        <v>2517</v>
      </c>
      <c r="K158" s="1718">
        <v>0.1075</v>
      </c>
      <c r="L158" s="1718"/>
      <c r="M158" s="1725" t="s">
        <v>2485</v>
      </c>
      <c r="N158" s="1739"/>
    </row>
    <row r="159" spans="1:14" ht="150" x14ac:dyDescent="0.25">
      <c r="A159" s="1723"/>
      <c r="B159" s="1713">
        <v>156</v>
      </c>
      <c r="C159" s="1714" t="s">
        <v>2479</v>
      </c>
      <c r="D159" s="1714">
        <v>53587</v>
      </c>
      <c r="E159" s="1714" t="s">
        <v>2516</v>
      </c>
      <c r="F159" s="1715" t="s">
        <v>2515</v>
      </c>
      <c r="G159" s="1684">
        <v>10.489000600000001</v>
      </c>
      <c r="H159" s="1716">
        <v>1.2336</v>
      </c>
      <c r="I159" s="1716">
        <f t="shared" si="4"/>
        <v>9.2554006000000015</v>
      </c>
      <c r="J159" s="1717" t="s">
        <v>2514</v>
      </c>
      <c r="K159" s="1718">
        <v>0.1075</v>
      </c>
      <c r="L159" s="1718"/>
      <c r="M159" s="1725" t="s">
        <v>2485</v>
      </c>
      <c r="N159" s="1738"/>
    </row>
    <row r="160" spans="1:14" ht="165" x14ac:dyDescent="0.25">
      <c r="A160" s="1723"/>
      <c r="B160" s="1713">
        <v>157</v>
      </c>
      <c r="C160" s="1714" t="s">
        <v>2479</v>
      </c>
      <c r="D160" s="1714">
        <v>53588</v>
      </c>
      <c r="E160" s="1714" t="s">
        <v>2513</v>
      </c>
      <c r="F160" s="1715" t="s">
        <v>2512</v>
      </c>
      <c r="G160" s="1684">
        <v>7.6680000000000001</v>
      </c>
      <c r="H160" s="1716">
        <v>0.85199999999999987</v>
      </c>
      <c r="I160" s="1716">
        <f t="shared" si="4"/>
        <v>6.8160000000000007</v>
      </c>
      <c r="J160" s="1717" t="s">
        <v>2511</v>
      </c>
      <c r="K160" s="1718">
        <v>0.1075</v>
      </c>
      <c r="L160" s="1718"/>
      <c r="M160" s="1725" t="s">
        <v>2485</v>
      </c>
      <c r="N160" s="1738"/>
    </row>
    <row r="161" spans="1:14" ht="165" x14ac:dyDescent="0.25">
      <c r="A161" s="1723"/>
      <c r="B161" s="1713">
        <v>158</v>
      </c>
      <c r="C161" s="1714" t="s">
        <v>2479</v>
      </c>
      <c r="D161" s="1714"/>
      <c r="E161" s="1714" t="s">
        <v>2510</v>
      </c>
      <c r="F161" s="1715" t="s">
        <v>2509</v>
      </c>
      <c r="G161" s="1684">
        <v>0</v>
      </c>
      <c r="H161" s="1716">
        <v>0</v>
      </c>
      <c r="I161" s="1716">
        <f t="shared" si="4"/>
        <v>0</v>
      </c>
      <c r="J161" s="1717" t="s">
        <v>2508</v>
      </c>
      <c r="K161" s="1718"/>
      <c r="L161" s="1718"/>
      <c r="M161" s="1725" t="s">
        <v>2485</v>
      </c>
      <c r="N161" s="1738"/>
    </row>
    <row r="162" spans="1:14" ht="75" x14ac:dyDescent="0.25">
      <c r="A162" s="1723"/>
      <c r="B162" s="1713">
        <v>159</v>
      </c>
      <c r="C162" s="1714" t="s">
        <v>2479</v>
      </c>
      <c r="D162" s="1714">
        <v>53590</v>
      </c>
      <c r="E162" s="1714" t="s">
        <v>2507</v>
      </c>
      <c r="F162" s="1715" t="s">
        <v>2506</v>
      </c>
      <c r="G162" s="1684">
        <v>2.8145699999999998</v>
      </c>
      <c r="H162" s="1716">
        <v>0</v>
      </c>
      <c r="I162" s="1716">
        <f t="shared" si="4"/>
        <v>2.8145699999999998</v>
      </c>
      <c r="J162" s="1717" t="s">
        <v>2505</v>
      </c>
      <c r="K162" s="1718">
        <v>0.1057</v>
      </c>
      <c r="L162" s="1718"/>
      <c r="M162" s="1725" t="s">
        <v>2485</v>
      </c>
      <c r="N162" s="1738"/>
    </row>
    <row r="163" spans="1:14" ht="135" x14ac:dyDescent="0.25">
      <c r="A163" s="1723"/>
      <c r="B163" s="1713">
        <v>160</v>
      </c>
      <c r="C163" s="1714" t="s">
        <v>2479</v>
      </c>
      <c r="D163" s="1714">
        <v>53428</v>
      </c>
      <c r="E163" s="1714">
        <v>15656</v>
      </c>
      <c r="F163" s="1715" t="s">
        <v>2504</v>
      </c>
      <c r="G163" s="1684">
        <v>5.4884976999999999</v>
      </c>
      <c r="H163" s="1685">
        <v>0</v>
      </c>
      <c r="I163" s="1716">
        <f t="shared" si="4"/>
        <v>5.4884976999999999</v>
      </c>
      <c r="J163" s="1717" t="s">
        <v>2503</v>
      </c>
      <c r="K163" s="1718">
        <v>0.10390000000000001</v>
      </c>
      <c r="L163" s="1718"/>
      <c r="M163" s="1725" t="s">
        <v>2485</v>
      </c>
      <c r="N163" s="1738"/>
    </row>
    <row r="164" spans="1:14" ht="90" x14ac:dyDescent="0.25">
      <c r="A164" s="1723"/>
      <c r="B164" s="1713">
        <v>161</v>
      </c>
      <c r="C164" s="1714" t="s">
        <v>2479</v>
      </c>
      <c r="D164" s="1714">
        <v>53426</v>
      </c>
      <c r="E164" s="1714">
        <v>15654</v>
      </c>
      <c r="F164" s="1715" t="s">
        <v>2502</v>
      </c>
      <c r="G164" s="1684">
        <v>14.4117333</v>
      </c>
      <c r="H164" s="1685">
        <v>0.2442</v>
      </c>
      <c r="I164" s="1716">
        <f t="shared" ref="I164:I181" si="5">G164-H164</f>
        <v>14.167533300000001</v>
      </c>
      <c r="J164" s="1717" t="s">
        <v>2501</v>
      </c>
      <c r="K164" s="1718">
        <v>0.10539999999999999</v>
      </c>
      <c r="L164" s="1718"/>
      <c r="M164" s="1725" t="s">
        <v>2485</v>
      </c>
      <c r="N164" s="1738"/>
    </row>
    <row r="165" spans="1:14" ht="60" x14ac:dyDescent="0.25">
      <c r="A165" s="1723"/>
      <c r="B165" s="1713">
        <v>162</v>
      </c>
      <c r="C165" s="1714" t="s">
        <v>2479</v>
      </c>
      <c r="D165" s="1714">
        <v>53427</v>
      </c>
      <c r="E165" s="1714">
        <v>15655</v>
      </c>
      <c r="F165" s="1715" t="s">
        <v>2500</v>
      </c>
      <c r="G165" s="1684">
        <v>4.8193489999999999</v>
      </c>
      <c r="H165" s="1685">
        <v>0</v>
      </c>
      <c r="I165" s="1716">
        <f t="shared" si="5"/>
        <v>4.8193489999999999</v>
      </c>
      <c r="J165" s="1717" t="s">
        <v>2499</v>
      </c>
      <c r="K165" s="1718">
        <v>0.10730000000000001</v>
      </c>
      <c r="L165" s="1718"/>
      <c r="M165" s="1725" t="s">
        <v>2490</v>
      </c>
      <c r="N165" s="1738"/>
    </row>
    <row r="166" spans="1:14" ht="45" x14ac:dyDescent="0.25">
      <c r="A166" s="1723"/>
      <c r="B166" s="1713">
        <v>163</v>
      </c>
      <c r="C166" s="1714" t="s">
        <v>2479</v>
      </c>
      <c r="D166" s="1714">
        <v>53424</v>
      </c>
      <c r="E166" s="1714">
        <v>15643</v>
      </c>
      <c r="F166" s="1715" t="s">
        <v>2498</v>
      </c>
      <c r="G166" s="1684">
        <v>2.9999703000000002</v>
      </c>
      <c r="H166" s="1685">
        <v>0</v>
      </c>
      <c r="I166" s="1716">
        <f t="shared" si="5"/>
        <v>2.9999703000000002</v>
      </c>
      <c r="J166" s="1717" t="s">
        <v>2497</v>
      </c>
      <c r="K166" s="1718">
        <v>9.64E-2</v>
      </c>
      <c r="L166" s="1718"/>
      <c r="M166" s="1725" t="s">
        <v>2490</v>
      </c>
      <c r="N166" s="1738"/>
    </row>
    <row r="167" spans="1:14" ht="75" x14ac:dyDescent="0.25">
      <c r="A167" s="1723"/>
      <c r="B167" s="1713">
        <v>164</v>
      </c>
      <c r="C167" s="1714" t="s">
        <v>2479</v>
      </c>
      <c r="D167" s="1714">
        <v>53433</v>
      </c>
      <c r="E167" s="1714">
        <v>16055</v>
      </c>
      <c r="F167" s="1715" t="s">
        <v>2496</v>
      </c>
      <c r="G167" s="1684">
        <v>7.8099539</v>
      </c>
      <c r="H167" s="1685">
        <v>0</v>
      </c>
      <c r="I167" s="1716">
        <f t="shared" si="5"/>
        <v>7.8099539</v>
      </c>
      <c r="J167" s="1717" t="s">
        <v>2495</v>
      </c>
      <c r="K167" s="1718"/>
      <c r="L167" s="1718"/>
      <c r="M167" s="1725" t="s">
        <v>2485</v>
      </c>
      <c r="N167" s="1738"/>
    </row>
    <row r="168" spans="1:14" ht="75" x14ac:dyDescent="0.25">
      <c r="A168" s="1723"/>
      <c r="B168" s="1713">
        <v>165</v>
      </c>
      <c r="C168" s="1714" t="s">
        <v>2479</v>
      </c>
      <c r="D168" s="1714">
        <v>53430</v>
      </c>
      <c r="E168" s="1714">
        <v>16052</v>
      </c>
      <c r="F168" s="1715" t="s">
        <v>2494</v>
      </c>
      <c r="G168" s="1684">
        <v>26.9</v>
      </c>
      <c r="H168" s="1685">
        <v>3.2280000000000002</v>
      </c>
      <c r="I168" s="1716">
        <f t="shared" si="5"/>
        <v>23.671999999999997</v>
      </c>
      <c r="J168" s="1717" t="s">
        <v>2493</v>
      </c>
      <c r="K168" s="1718">
        <v>0.104</v>
      </c>
      <c r="L168" s="1718"/>
      <c r="M168" s="1725" t="s">
        <v>2485</v>
      </c>
      <c r="N168" s="1738"/>
    </row>
    <row r="169" spans="1:14" ht="105" x14ac:dyDescent="0.25">
      <c r="A169" s="1723"/>
      <c r="B169" s="1713">
        <v>166</v>
      </c>
      <c r="C169" s="1714" t="s">
        <v>2479</v>
      </c>
      <c r="D169" s="1714">
        <v>53435</v>
      </c>
      <c r="E169" s="1714">
        <v>16057</v>
      </c>
      <c r="F169" s="1715" t="s">
        <v>2492</v>
      </c>
      <c r="G169" s="1684">
        <v>16.017539800000002</v>
      </c>
      <c r="H169" s="1685">
        <v>0</v>
      </c>
      <c r="I169" s="1716">
        <f t="shared" si="5"/>
        <v>16.017539800000002</v>
      </c>
      <c r="J169" s="1717" t="s">
        <v>2491</v>
      </c>
      <c r="K169" s="1718">
        <v>0.104</v>
      </c>
      <c r="L169" s="1718"/>
      <c r="M169" s="1725" t="s">
        <v>2490</v>
      </c>
      <c r="N169" s="1738"/>
    </row>
    <row r="170" spans="1:14" s="1744" customFormat="1" ht="60" x14ac:dyDescent="0.2">
      <c r="A170" s="1740"/>
      <c r="B170" s="1713">
        <v>167</v>
      </c>
      <c r="C170" s="1714" t="s">
        <v>2479</v>
      </c>
      <c r="D170" s="1714">
        <v>53440</v>
      </c>
      <c r="E170" s="1741">
        <v>16733</v>
      </c>
      <c r="F170" s="1742" t="s">
        <v>2489</v>
      </c>
      <c r="G170" s="1686">
        <v>3.0969989999999998</v>
      </c>
      <c r="H170" s="1685">
        <v>0</v>
      </c>
      <c r="I170" s="1716">
        <f t="shared" si="5"/>
        <v>3.0969989999999998</v>
      </c>
      <c r="J170" s="1717" t="s">
        <v>2488</v>
      </c>
      <c r="K170" s="1743">
        <v>0.1115</v>
      </c>
      <c r="L170" s="1743"/>
      <c r="M170" s="1725" t="s">
        <v>2485</v>
      </c>
      <c r="N170" s="1738"/>
    </row>
    <row r="171" spans="1:14" ht="60" x14ac:dyDescent="0.25">
      <c r="A171" s="1736"/>
      <c r="B171" s="1713">
        <v>168</v>
      </c>
      <c r="C171" s="1714" t="s">
        <v>2479</v>
      </c>
      <c r="D171" s="1714">
        <v>53437</v>
      </c>
      <c r="E171" s="1714">
        <v>16144</v>
      </c>
      <c r="F171" s="1742" t="s">
        <v>2487</v>
      </c>
      <c r="G171" s="1684">
        <v>17.079090999999998</v>
      </c>
      <c r="H171" s="1685">
        <v>0</v>
      </c>
      <c r="I171" s="1716">
        <f t="shared" si="5"/>
        <v>17.079090999999998</v>
      </c>
      <c r="J171" s="1717" t="s">
        <v>2486</v>
      </c>
      <c r="K171" s="1718">
        <v>0.1047</v>
      </c>
      <c r="L171" s="1718"/>
      <c r="M171" s="1725" t="s">
        <v>2485</v>
      </c>
      <c r="N171" s="1738"/>
    </row>
    <row r="172" spans="1:14" ht="90" x14ac:dyDescent="0.25">
      <c r="A172" s="1723"/>
      <c r="B172" s="1713">
        <v>169</v>
      </c>
      <c r="C172" s="1714" t="s">
        <v>2479</v>
      </c>
      <c r="D172" s="1714">
        <v>53592</v>
      </c>
      <c r="E172" s="1714" t="s">
        <v>2484</v>
      </c>
      <c r="F172" s="1715" t="s">
        <v>2470</v>
      </c>
      <c r="G172" s="1684">
        <v>814.23961150000002</v>
      </c>
      <c r="H172" s="1716">
        <v>123.83880000000001</v>
      </c>
      <c r="I172" s="1716">
        <f t="shared" si="5"/>
        <v>690.40081150000003</v>
      </c>
      <c r="J172" s="1717" t="s">
        <v>2483</v>
      </c>
      <c r="K172" s="1718">
        <v>9.8900000000000002E-2</v>
      </c>
      <c r="L172" s="1718"/>
      <c r="M172" s="1717" t="s">
        <v>2482</v>
      </c>
      <c r="N172" s="1692"/>
    </row>
    <row r="173" spans="1:14" ht="45" x14ac:dyDescent="0.25">
      <c r="A173" s="1723"/>
      <c r="B173" s="1713">
        <v>170</v>
      </c>
      <c r="C173" s="1714" t="s">
        <v>2479</v>
      </c>
      <c r="D173" s="1714">
        <v>53594</v>
      </c>
      <c r="E173" s="1714" t="s">
        <v>2481</v>
      </c>
      <c r="F173" s="1715" t="s">
        <v>2470</v>
      </c>
      <c r="G173" s="1684">
        <v>1800</v>
      </c>
      <c r="H173" s="1716">
        <v>0</v>
      </c>
      <c r="I173" s="1716">
        <f t="shared" si="5"/>
        <v>1800</v>
      </c>
      <c r="J173" s="1717" t="s">
        <v>2480</v>
      </c>
      <c r="K173" s="1718">
        <v>9.5000000000000001E-2</v>
      </c>
      <c r="L173" s="1718"/>
      <c r="M173" s="1725" t="s">
        <v>2476</v>
      </c>
      <c r="N173" s="1692"/>
    </row>
    <row r="174" spans="1:14" ht="45" x14ac:dyDescent="0.25">
      <c r="A174" s="1723"/>
      <c r="B174" s="1713">
        <v>171</v>
      </c>
      <c r="C174" s="1714" t="s">
        <v>2479</v>
      </c>
      <c r="D174" s="1714">
        <v>53602</v>
      </c>
      <c r="E174" s="1714" t="s">
        <v>2478</v>
      </c>
      <c r="F174" s="1715" t="s">
        <v>2470</v>
      </c>
      <c r="G174" s="1684">
        <v>1089.7472451000001</v>
      </c>
      <c r="H174" s="1716">
        <v>0</v>
      </c>
      <c r="I174" s="1716">
        <f t="shared" si="5"/>
        <v>1089.7472451000001</v>
      </c>
      <c r="J174" s="1717" t="s">
        <v>2477</v>
      </c>
      <c r="K174" s="1718">
        <v>9.7500000000000003E-2</v>
      </c>
      <c r="L174" s="1718"/>
      <c r="M174" s="1725" t="s">
        <v>2476</v>
      </c>
      <c r="N174" s="1692"/>
    </row>
    <row r="175" spans="1:14" ht="135" x14ac:dyDescent="0.25">
      <c r="A175" s="1723"/>
      <c r="B175" s="1713">
        <v>172</v>
      </c>
      <c r="C175" s="1714" t="s">
        <v>2475</v>
      </c>
      <c r="D175" s="1714">
        <v>50007</v>
      </c>
      <c r="E175" s="1714">
        <v>42829277924</v>
      </c>
      <c r="F175" s="1715" t="s">
        <v>2470</v>
      </c>
      <c r="G175" s="1684">
        <v>499.99961539999998</v>
      </c>
      <c r="H175" s="1716">
        <v>0</v>
      </c>
      <c r="I175" s="1716">
        <f t="shared" si="5"/>
        <v>499.99961539999998</v>
      </c>
      <c r="J175" s="1717" t="s">
        <v>2474</v>
      </c>
      <c r="K175" s="1718">
        <v>9.6500000000000002E-2</v>
      </c>
      <c r="L175" s="1718"/>
      <c r="M175" s="1725" t="s">
        <v>2473</v>
      </c>
      <c r="N175" s="1692"/>
    </row>
    <row r="176" spans="1:14" ht="92.25" customHeight="1" x14ac:dyDescent="0.25">
      <c r="A176" s="1723"/>
      <c r="B176" s="1713">
        <v>173</v>
      </c>
      <c r="C176" s="1714" t="s">
        <v>2472</v>
      </c>
      <c r="D176" s="1714">
        <v>50003</v>
      </c>
      <c r="E176" s="1745" t="s">
        <v>2471</v>
      </c>
      <c r="F176" s="1715" t="s">
        <v>2470</v>
      </c>
      <c r="G176" s="1684">
        <v>325</v>
      </c>
      <c r="H176" s="1716">
        <v>0</v>
      </c>
      <c r="I176" s="1716">
        <f t="shared" si="5"/>
        <v>325</v>
      </c>
      <c r="J176" s="1717" t="s">
        <v>2469</v>
      </c>
      <c r="K176" s="1718">
        <v>9.0999999999999998E-2</v>
      </c>
      <c r="L176" s="1718"/>
      <c r="M176" s="1725" t="s">
        <v>2468</v>
      </c>
      <c r="N176" s="1692"/>
    </row>
    <row r="177" spans="1:15" ht="60" x14ac:dyDescent="0.25">
      <c r="A177" s="1723"/>
      <c r="B177" s="1713">
        <v>174</v>
      </c>
      <c r="C177" s="1726" t="s">
        <v>2467</v>
      </c>
      <c r="D177" s="1746">
        <v>53422</v>
      </c>
      <c r="E177" s="1745">
        <v>36174151137</v>
      </c>
      <c r="F177" s="1715" t="s">
        <v>2466</v>
      </c>
      <c r="G177" s="1684">
        <v>894.23418549999997</v>
      </c>
      <c r="H177" s="1716">
        <v>172.4</v>
      </c>
      <c r="I177" s="1716">
        <f t="shared" si="5"/>
        <v>721.83418549999999</v>
      </c>
      <c r="J177" s="1717" t="s">
        <v>2465</v>
      </c>
      <c r="K177" s="1747">
        <v>9.5500000000000002E-2</v>
      </c>
      <c r="L177" s="1747"/>
      <c r="M177" s="1725" t="s">
        <v>2464</v>
      </c>
      <c r="N177" s="1748"/>
    </row>
    <row r="178" spans="1:15" ht="45" x14ac:dyDescent="0.25">
      <c r="A178" s="1723"/>
      <c r="B178" s="1713">
        <v>175</v>
      </c>
      <c r="C178" s="1726" t="s">
        <v>2463</v>
      </c>
      <c r="D178" s="1726">
        <v>53421</v>
      </c>
      <c r="E178" s="1715" t="s">
        <v>2462</v>
      </c>
      <c r="F178" s="1715" t="s">
        <v>2461</v>
      </c>
      <c r="G178" s="1684">
        <v>41.243363357999996</v>
      </c>
      <c r="H178" s="1716">
        <v>41.24</v>
      </c>
      <c r="I178" s="1716">
        <f t="shared" si="5"/>
        <v>3.3633579999943208E-3</v>
      </c>
      <c r="J178" s="1717" t="s">
        <v>2460</v>
      </c>
      <c r="K178" s="1747">
        <v>1.9599999999999999E-2</v>
      </c>
      <c r="L178" s="1747"/>
      <c r="M178" s="1717" t="s">
        <v>2454</v>
      </c>
      <c r="N178" s="1701"/>
    </row>
    <row r="179" spans="1:15" ht="75" x14ac:dyDescent="0.25">
      <c r="A179" s="1723"/>
      <c r="B179" s="1713">
        <v>176</v>
      </c>
      <c r="C179" s="1726" t="s">
        <v>2459</v>
      </c>
      <c r="D179" s="1726">
        <v>53418</v>
      </c>
      <c r="E179" s="1715" t="s">
        <v>2458</v>
      </c>
      <c r="F179" s="1715" t="s">
        <v>2457</v>
      </c>
      <c r="G179" s="1684">
        <v>259.04657539999999</v>
      </c>
      <c r="H179" s="1716">
        <v>15.5035446</v>
      </c>
      <c r="I179" s="1716">
        <f t="shared" si="5"/>
        <v>243.5430308</v>
      </c>
      <c r="J179" s="1717" t="s">
        <v>2456</v>
      </c>
      <c r="K179" s="1726" t="s">
        <v>2455</v>
      </c>
      <c r="L179" s="1726"/>
      <c r="M179" s="1717" t="s">
        <v>2454</v>
      </c>
      <c r="N179" s="1701"/>
    </row>
    <row r="180" spans="1:15" ht="60" x14ac:dyDescent="0.25">
      <c r="A180" s="1723"/>
      <c r="B180" s="1713">
        <v>177</v>
      </c>
      <c r="C180" s="1726"/>
      <c r="D180" s="1726">
        <v>53801</v>
      </c>
      <c r="E180" s="1715" t="s">
        <v>2453</v>
      </c>
      <c r="F180" s="1715"/>
      <c r="G180" s="1684">
        <v>149.05813169999999</v>
      </c>
      <c r="H180" s="1716">
        <f>'[15]LT Final'!E34</f>
        <v>4.2996131999999996</v>
      </c>
      <c r="I180" s="1716">
        <f t="shared" si="5"/>
        <v>144.75851849999998</v>
      </c>
      <c r="J180" s="1717"/>
      <c r="K180" s="1726"/>
      <c r="L180" s="1726"/>
      <c r="M180" s="1717"/>
      <c r="N180" s="1701"/>
    </row>
    <row r="181" spans="1:15" ht="60" x14ac:dyDescent="0.25">
      <c r="A181" s="1723"/>
      <c r="B181" s="1713">
        <v>178</v>
      </c>
      <c r="C181" s="1726"/>
      <c r="D181" s="1726"/>
      <c r="E181" s="1715" t="s">
        <v>2452</v>
      </c>
      <c r="F181" s="1715" t="s">
        <v>2451</v>
      </c>
      <c r="G181" s="1684">
        <v>6.6902387000000001</v>
      </c>
      <c r="H181" s="1716"/>
      <c r="I181" s="1716">
        <f t="shared" si="5"/>
        <v>6.6902387000000001</v>
      </c>
      <c r="J181" s="1717" t="s">
        <v>2450</v>
      </c>
      <c r="K181" s="1726">
        <v>0</v>
      </c>
      <c r="L181" s="1726"/>
      <c r="M181" s="1717" t="s">
        <v>1725</v>
      </c>
      <c r="N181" s="1701"/>
    </row>
    <row r="182" spans="1:15" x14ac:dyDescent="0.25">
      <c r="A182" s="1723"/>
      <c r="B182" s="1749"/>
      <c r="C182" s="1750"/>
      <c r="D182" s="1750"/>
      <c r="E182" s="1751"/>
      <c r="F182" s="1752"/>
      <c r="G182" s="1753"/>
      <c r="H182" s="1754"/>
      <c r="I182" s="1754"/>
      <c r="J182" s="1755"/>
      <c r="K182" s="1750"/>
      <c r="L182" s="1750"/>
      <c r="M182" s="1755"/>
      <c r="N182" s="1701"/>
    </row>
    <row r="183" spans="1:15" x14ac:dyDescent="0.25">
      <c r="B183" s="1756"/>
      <c r="C183" s="1757"/>
      <c r="D183" s="1758"/>
      <c r="E183" s="1758"/>
      <c r="F183" s="1759" t="s">
        <v>2449</v>
      </c>
      <c r="G183" s="1760">
        <f>SUM(G4:G182)</f>
        <v>27655.01150491599</v>
      </c>
      <c r="H183" s="1760">
        <f>SUM(H4:H182)</f>
        <v>2930.4655416045989</v>
      </c>
      <c r="I183" s="1760">
        <f>SUM(I4:I182)</f>
        <v>24724.54596331139</v>
      </c>
      <c r="J183" s="1761"/>
      <c r="K183" s="1758"/>
      <c r="L183" s="1758"/>
      <c r="M183" s="1762"/>
      <c r="O183" s="1763"/>
    </row>
    <row r="184" spans="1:15" x14ac:dyDescent="0.25">
      <c r="I184" s="1764"/>
    </row>
    <row r="185" spans="1:15" ht="37.5" customHeight="1" x14ac:dyDescent="0.25">
      <c r="B185" s="2062" t="s">
        <v>2448</v>
      </c>
      <c r="C185" s="2062"/>
      <c r="D185" s="2062"/>
      <c r="E185" s="2062"/>
      <c r="F185" s="2062"/>
      <c r="G185" s="2062"/>
      <c r="H185" s="2062"/>
      <c r="I185" s="2062"/>
      <c r="J185" s="2062"/>
      <c r="K185" s="2062"/>
      <c r="L185" s="2062"/>
      <c r="M185" s="2062"/>
      <c r="N185" s="1748"/>
    </row>
    <row r="186" spans="1:15" x14ac:dyDescent="0.25">
      <c r="H186" s="1764">
        <f>'[15]balance sheet P&amp;L'!D305</f>
        <v>2930.4689049626008</v>
      </c>
      <c r="I186" s="1688">
        <f>'[15]balance sheet P&amp;L'!D280</f>
        <v>24724.542599953405</v>
      </c>
    </row>
    <row r="187" spans="1:15" x14ac:dyDescent="0.25">
      <c r="H187" s="1764">
        <f>H186-H183</f>
        <v>3.3633580019341025E-3</v>
      </c>
      <c r="I187" s="1690">
        <f>I183-I186</f>
        <v>3.3633579841989558E-3</v>
      </c>
    </row>
    <row r="188" spans="1:15" x14ac:dyDescent="0.25">
      <c r="G188" s="1691">
        <f>'[15]balance sheet P&amp;L'!D42+'[15]balance sheet P&amp;L'!D305</f>
        <v>27655.011504916005</v>
      </c>
    </row>
    <row r="189" spans="1:15" x14ac:dyDescent="0.25">
      <c r="G189" s="1765">
        <f>G183-G188</f>
        <v>0</v>
      </c>
    </row>
    <row r="193" spans="5:8" x14ac:dyDescent="0.25">
      <c r="G193" s="1691">
        <f>+G189-G191</f>
        <v>0</v>
      </c>
      <c r="H193" s="1766">
        <f>+G193*10^7</f>
        <v>0</v>
      </c>
    </row>
    <row r="195" spans="5:8" x14ac:dyDescent="0.25">
      <c r="E195" s="1767"/>
    </row>
    <row r="196" spans="5:8" x14ac:dyDescent="0.25">
      <c r="E196" s="1767"/>
    </row>
    <row r="197" spans="5:8" x14ac:dyDescent="0.25">
      <c r="E197" s="1767"/>
    </row>
    <row r="198" spans="5:8" x14ac:dyDescent="0.25">
      <c r="E198" s="1767"/>
    </row>
    <row r="199" spans="5:8" x14ac:dyDescent="0.25">
      <c r="E199" s="1767"/>
    </row>
    <row r="200" spans="5:8" x14ac:dyDescent="0.25">
      <c r="E200" s="1767"/>
    </row>
    <row r="201" spans="5:8" x14ac:dyDescent="0.25">
      <c r="E201" s="1767"/>
    </row>
    <row r="202" spans="5:8" x14ac:dyDescent="0.25">
      <c r="E202" s="1767"/>
    </row>
    <row r="203" spans="5:8" x14ac:dyDescent="0.25">
      <c r="E203" s="1767"/>
    </row>
    <row r="204" spans="5:8" x14ac:dyDescent="0.25">
      <c r="E204" s="1767"/>
    </row>
    <row r="205" spans="5:8" x14ac:dyDescent="0.25">
      <c r="E205" s="1767"/>
    </row>
    <row r="206" spans="5:8" x14ac:dyDescent="0.25">
      <c r="E206" s="1767"/>
    </row>
    <row r="207" spans="5:8" x14ac:dyDescent="0.25">
      <c r="E207" s="1767"/>
    </row>
    <row r="208" spans="5:8" x14ac:dyDescent="0.25">
      <c r="E208" s="1767"/>
    </row>
    <row r="209" spans="5:5" x14ac:dyDescent="0.25">
      <c r="E209" s="1767"/>
    </row>
    <row r="210" spans="5:5" x14ac:dyDescent="0.25">
      <c r="E210" s="1767"/>
    </row>
    <row r="211" spans="5:5" x14ac:dyDescent="0.25">
      <c r="E211" s="1767"/>
    </row>
    <row r="212" spans="5:5" x14ac:dyDescent="0.25">
      <c r="E212" s="1767"/>
    </row>
    <row r="213" spans="5:5" x14ac:dyDescent="0.25">
      <c r="E213" s="1767"/>
    </row>
    <row r="214" spans="5:5" x14ac:dyDescent="0.25">
      <c r="E214" s="1767"/>
    </row>
    <row r="215" spans="5:5" x14ac:dyDescent="0.25">
      <c r="E215" s="1767"/>
    </row>
    <row r="216" spans="5:5" x14ac:dyDescent="0.25">
      <c r="E216" s="1767"/>
    </row>
    <row r="217" spans="5:5" x14ac:dyDescent="0.25">
      <c r="E217" s="1767"/>
    </row>
    <row r="218" spans="5:5" x14ac:dyDescent="0.25">
      <c r="E218" s="1767"/>
    </row>
    <row r="219" spans="5:5" x14ac:dyDescent="0.25">
      <c r="E219" s="1767"/>
    </row>
    <row r="220" spans="5:5" x14ac:dyDescent="0.25">
      <c r="E220" s="1767"/>
    </row>
    <row r="221" spans="5:5" x14ac:dyDescent="0.25">
      <c r="E221" s="1767"/>
    </row>
    <row r="222" spans="5:5" x14ac:dyDescent="0.25">
      <c r="E222" s="1767"/>
    </row>
    <row r="223" spans="5:5" x14ac:dyDescent="0.25">
      <c r="E223" s="1767"/>
    </row>
    <row r="224" spans="5:5" x14ac:dyDescent="0.25">
      <c r="E224" s="1767"/>
    </row>
    <row r="225" spans="5:5" x14ac:dyDescent="0.25">
      <c r="E225" s="1767"/>
    </row>
    <row r="226" spans="5:5" x14ac:dyDescent="0.25">
      <c r="E226" s="1767"/>
    </row>
    <row r="227" spans="5:5" x14ac:dyDescent="0.25">
      <c r="E227" s="1767"/>
    </row>
    <row r="228" spans="5:5" x14ac:dyDescent="0.25">
      <c r="E228" s="1767"/>
    </row>
    <row r="229" spans="5:5" x14ac:dyDescent="0.25">
      <c r="E229" s="1767"/>
    </row>
    <row r="230" spans="5:5" x14ac:dyDescent="0.25">
      <c r="E230" s="1767"/>
    </row>
    <row r="231" spans="5:5" x14ac:dyDescent="0.25">
      <c r="E231" s="1767"/>
    </row>
    <row r="232" spans="5:5" x14ac:dyDescent="0.25">
      <c r="E232" s="1767"/>
    </row>
    <row r="233" spans="5:5" x14ac:dyDescent="0.25">
      <c r="E233" s="1767"/>
    </row>
    <row r="234" spans="5:5" x14ac:dyDescent="0.25">
      <c r="E234" s="1767"/>
    </row>
    <row r="235" spans="5:5" x14ac:dyDescent="0.25">
      <c r="E235" s="1767"/>
    </row>
    <row r="236" spans="5:5" x14ac:dyDescent="0.25">
      <c r="E236" s="1767"/>
    </row>
    <row r="237" spans="5:5" x14ac:dyDescent="0.25">
      <c r="E237" s="1767"/>
    </row>
    <row r="238" spans="5:5" x14ac:dyDescent="0.25">
      <c r="E238" s="1767"/>
    </row>
    <row r="239" spans="5:5" x14ac:dyDescent="0.25">
      <c r="E239" s="1767"/>
    </row>
    <row r="240" spans="5:5" x14ac:dyDescent="0.25">
      <c r="E240" s="1767"/>
    </row>
    <row r="241" spans="5:5" x14ac:dyDescent="0.25">
      <c r="E241" s="1767"/>
    </row>
    <row r="242" spans="5:5" x14ac:dyDescent="0.25">
      <c r="E242" s="1767"/>
    </row>
    <row r="243" spans="5:5" x14ac:dyDescent="0.25">
      <c r="E243" s="1767"/>
    </row>
    <row r="244" spans="5:5" x14ac:dyDescent="0.25">
      <c r="E244" s="1767"/>
    </row>
    <row r="245" spans="5:5" x14ac:dyDescent="0.25">
      <c r="E245" s="1767"/>
    </row>
    <row r="246" spans="5:5" x14ac:dyDescent="0.25">
      <c r="E246" s="1767"/>
    </row>
    <row r="247" spans="5:5" x14ac:dyDescent="0.25">
      <c r="E247" s="1767"/>
    </row>
    <row r="248" spans="5:5" x14ac:dyDescent="0.25">
      <c r="E248" s="1767"/>
    </row>
    <row r="249" spans="5:5" x14ac:dyDescent="0.25">
      <c r="E249" s="1767"/>
    </row>
    <row r="250" spans="5:5" x14ac:dyDescent="0.25">
      <c r="E250" s="1767"/>
    </row>
    <row r="251" spans="5:5" x14ac:dyDescent="0.25">
      <c r="E251" s="1767"/>
    </row>
    <row r="252" spans="5:5" x14ac:dyDescent="0.25">
      <c r="E252" s="1767"/>
    </row>
    <row r="253" spans="5:5" x14ac:dyDescent="0.25">
      <c r="E253" s="1767"/>
    </row>
    <row r="254" spans="5:5" x14ac:dyDescent="0.25">
      <c r="E254" s="1767"/>
    </row>
    <row r="255" spans="5:5" x14ac:dyDescent="0.25">
      <c r="E255" s="1767"/>
    </row>
    <row r="256" spans="5:5" x14ac:dyDescent="0.25">
      <c r="E256" s="1767"/>
    </row>
    <row r="257" spans="5:5" x14ac:dyDescent="0.25">
      <c r="E257" s="1767"/>
    </row>
    <row r="258" spans="5:5" x14ac:dyDescent="0.25">
      <c r="E258" s="1767"/>
    </row>
    <row r="259" spans="5:5" x14ac:dyDescent="0.25">
      <c r="E259" s="1767"/>
    </row>
    <row r="260" spans="5:5" x14ac:dyDescent="0.25">
      <c r="E260" s="1767"/>
    </row>
    <row r="261" spans="5:5" x14ac:dyDescent="0.25">
      <c r="E261" s="1767"/>
    </row>
    <row r="262" spans="5:5" x14ac:dyDescent="0.25">
      <c r="E262" s="1767"/>
    </row>
    <row r="263" spans="5:5" x14ac:dyDescent="0.25">
      <c r="E263" s="1767"/>
    </row>
    <row r="264" spans="5:5" x14ac:dyDescent="0.25">
      <c r="E264" s="1767"/>
    </row>
    <row r="265" spans="5:5" x14ac:dyDescent="0.25">
      <c r="E265" s="1767"/>
    </row>
    <row r="266" spans="5:5" x14ac:dyDescent="0.25">
      <c r="E266" s="1767"/>
    </row>
    <row r="267" spans="5:5" x14ac:dyDescent="0.25">
      <c r="E267" s="1767"/>
    </row>
    <row r="268" spans="5:5" x14ac:dyDescent="0.25">
      <c r="E268" s="1767"/>
    </row>
    <row r="269" spans="5:5" x14ac:dyDescent="0.25">
      <c r="E269" s="1767"/>
    </row>
    <row r="270" spans="5:5" x14ac:dyDescent="0.25">
      <c r="E270" s="1767"/>
    </row>
    <row r="271" spans="5:5" x14ac:dyDescent="0.25">
      <c r="E271" s="1767"/>
    </row>
    <row r="272" spans="5:5" x14ac:dyDescent="0.25">
      <c r="E272" s="1767"/>
    </row>
    <row r="273" spans="5:5" x14ac:dyDescent="0.25">
      <c r="E273" s="1767"/>
    </row>
    <row r="274" spans="5:5" x14ac:dyDescent="0.25">
      <c r="E274" s="1767"/>
    </row>
    <row r="275" spans="5:5" x14ac:dyDescent="0.25">
      <c r="E275" s="1767"/>
    </row>
    <row r="276" spans="5:5" x14ac:dyDescent="0.25">
      <c r="E276" s="1767"/>
    </row>
    <row r="277" spans="5:5" x14ac:dyDescent="0.25">
      <c r="E277" s="1767"/>
    </row>
    <row r="278" spans="5:5" x14ac:dyDescent="0.25">
      <c r="E278" s="1767"/>
    </row>
    <row r="279" spans="5:5" x14ac:dyDescent="0.25">
      <c r="E279" s="1767"/>
    </row>
    <row r="280" spans="5:5" x14ac:dyDescent="0.25">
      <c r="E280" s="1767"/>
    </row>
    <row r="281" spans="5:5" x14ac:dyDescent="0.25">
      <c r="E281" s="1767"/>
    </row>
    <row r="282" spans="5:5" x14ac:dyDescent="0.25">
      <c r="E282" s="1767"/>
    </row>
    <row r="283" spans="5:5" x14ac:dyDescent="0.25">
      <c r="E283" s="1767"/>
    </row>
    <row r="284" spans="5:5" x14ac:dyDescent="0.25">
      <c r="E284" s="1767"/>
    </row>
    <row r="285" spans="5:5" x14ac:dyDescent="0.25">
      <c r="E285" s="1767"/>
    </row>
    <row r="286" spans="5:5" x14ac:dyDescent="0.25">
      <c r="E286" s="1767"/>
    </row>
    <row r="287" spans="5:5" x14ac:dyDescent="0.25">
      <c r="E287" s="1767"/>
    </row>
    <row r="288" spans="5:5" x14ac:dyDescent="0.25">
      <c r="E288" s="1767"/>
    </row>
    <row r="289" spans="5:5" x14ac:dyDescent="0.25">
      <c r="E289" s="1767"/>
    </row>
    <row r="290" spans="5:5" x14ac:dyDescent="0.25">
      <c r="E290" s="1767"/>
    </row>
    <row r="291" spans="5:5" x14ac:dyDescent="0.25">
      <c r="E291" s="1767"/>
    </row>
    <row r="292" spans="5:5" x14ac:dyDescent="0.25">
      <c r="E292" s="1767"/>
    </row>
    <row r="293" spans="5:5" x14ac:dyDescent="0.25">
      <c r="E293" s="1767"/>
    </row>
    <row r="294" spans="5:5" x14ac:dyDescent="0.25">
      <c r="E294" s="1767"/>
    </row>
    <row r="295" spans="5:5" x14ac:dyDescent="0.25">
      <c r="E295" s="1767"/>
    </row>
    <row r="296" spans="5:5" x14ac:dyDescent="0.25">
      <c r="E296" s="1767"/>
    </row>
    <row r="297" spans="5:5" x14ac:dyDescent="0.25">
      <c r="E297" s="1767"/>
    </row>
    <row r="298" spans="5:5" x14ac:dyDescent="0.25">
      <c r="E298" s="1767"/>
    </row>
    <row r="299" spans="5:5" x14ac:dyDescent="0.25">
      <c r="E299" s="1767"/>
    </row>
    <row r="300" spans="5:5" x14ac:dyDescent="0.25">
      <c r="E300" s="1767"/>
    </row>
    <row r="301" spans="5:5" x14ac:dyDescent="0.25">
      <c r="E301" s="1767"/>
    </row>
    <row r="302" spans="5:5" x14ac:dyDescent="0.25">
      <c r="E302" s="1767"/>
    </row>
    <row r="303" spans="5:5" x14ac:dyDescent="0.25">
      <c r="E303" s="1767"/>
    </row>
    <row r="304" spans="5:5" x14ac:dyDescent="0.25">
      <c r="E304" s="1767"/>
    </row>
    <row r="305" spans="5:5" x14ac:dyDescent="0.25">
      <c r="E305" s="1767"/>
    </row>
    <row r="306" spans="5:5" x14ac:dyDescent="0.25">
      <c r="E306" s="1767"/>
    </row>
    <row r="307" spans="5:5" x14ac:dyDescent="0.25">
      <c r="E307" s="1767"/>
    </row>
    <row r="308" spans="5:5" x14ac:dyDescent="0.25">
      <c r="E308" s="1767"/>
    </row>
    <row r="309" spans="5:5" x14ac:dyDescent="0.25">
      <c r="E309" s="1767"/>
    </row>
    <row r="310" spans="5:5" x14ac:dyDescent="0.25">
      <c r="E310" s="1767"/>
    </row>
    <row r="311" spans="5:5" x14ac:dyDescent="0.25">
      <c r="E311" s="1767"/>
    </row>
    <row r="312" spans="5:5" x14ac:dyDescent="0.25">
      <c r="E312" s="1767"/>
    </row>
    <row r="313" spans="5:5" x14ac:dyDescent="0.25">
      <c r="E313" s="1767"/>
    </row>
    <row r="314" spans="5:5" x14ac:dyDescent="0.25">
      <c r="E314" s="1767"/>
    </row>
    <row r="315" spans="5:5" x14ac:dyDescent="0.25">
      <c r="E315" s="1767"/>
    </row>
    <row r="316" spans="5:5" x14ac:dyDescent="0.25">
      <c r="E316" s="1767"/>
    </row>
    <row r="317" spans="5:5" x14ac:dyDescent="0.25">
      <c r="E317" s="1767"/>
    </row>
    <row r="318" spans="5:5" x14ac:dyDescent="0.25">
      <c r="E318" s="1767"/>
    </row>
    <row r="319" spans="5:5" x14ac:dyDescent="0.25">
      <c r="E319" s="1767"/>
    </row>
    <row r="320" spans="5:5" x14ac:dyDescent="0.25">
      <c r="E320" s="1767"/>
    </row>
    <row r="321" spans="5:5" x14ac:dyDescent="0.25">
      <c r="E321" s="1767"/>
    </row>
    <row r="322" spans="5:5" x14ac:dyDescent="0.25">
      <c r="E322" s="1767"/>
    </row>
    <row r="323" spans="5:5" x14ac:dyDescent="0.25">
      <c r="E323" s="1767"/>
    </row>
    <row r="324" spans="5:5" x14ac:dyDescent="0.25">
      <c r="E324" s="1767"/>
    </row>
    <row r="325" spans="5:5" x14ac:dyDescent="0.25">
      <c r="E325" s="1767"/>
    </row>
    <row r="326" spans="5:5" x14ac:dyDescent="0.25">
      <c r="E326" s="1767"/>
    </row>
    <row r="327" spans="5:5" x14ac:dyDescent="0.25">
      <c r="E327" s="1767"/>
    </row>
    <row r="328" spans="5:5" x14ac:dyDescent="0.25">
      <c r="E328" s="1767"/>
    </row>
    <row r="329" spans="5:5" x14ac:dyDescent="0.25">
      <c r="E329" s="1767"/>
    </row>
    <row r="330" spans="5:5" x14ac:dyDescent="0.25">
      <c r="E330" s="1767"/>
    </row>
    <row r="331" spans="5:5" x14ac:dyDescent="0.25">
      <c r="E331" s="1767"/>
    </row>
    <row r="332" spans="5:5" x14ac:dyDescent="0.25">
      <c r="E332" s="1767"/>
    </row>
    <row r="333" spans="5:5" x14ac:dyDescent="0.25">
      <c r="E333" s="1767"/>
    </row>
    <row r="334" spans="5:5" x14ac:dyDescent="0.25">
      <c r="E334" s="1767"/>
    </row>
    <row r="335" spans="5:5" x14ac:dyDescent="0.25">
      <c r="E335" s="1767"/>
    </row>
    <row r="336" spans="5:5" x14ac:dyDescent="0.25">
      <c r="E336" s="1767"/>
    </row>
    <row r="337" spans="5:5" x14ac:dyDescent="0.25">
      <c r="E337" s="1767"/>
    </row>
    <row r="338" spans="5:5" x14ac:dyDescent="0.25">
      <c r="E338" s="1767"/>
    </row>
    <row r="339" spans="5:5" x14ac:dyDescent="0.25">
      <c r="E339" s="1767"/>
    </row>
    <row r="340" spans="5:5" x14ac:dyDescent="0.25">
      <c r="E340" s="1767"/>
    </row>
    <row r="341" spans="5:5" x14ac:dyDescent="0.25">
      <c r="E341" s="1767"/>
    </row>
    <row r="342" spans="5:5" x14ac:dyDescent="0.25">
      <c r="E342" s="1767"/>
    </row>
    <row r="343" spans="5:5" x14ac:dyDescent="0.25">
      <c r="E343" s="1767"/>
    </row>
    <row r="344" spans="5:5" x14ac:dyDescent="0.25">
      <c r="E344" s="1767"/>
    </row>
    <row r="345" spans="5:5" x14ac:dyDescent="0.25">
      <c r="E345" s="1767"/>
    </row>
    <row r="346" spans="5:5" x14ac:dyDescent="0.25">
      <c r="E346" s="1767"/>
    </row>
    <row r="347" spans="5:5" x14ac:dyDescent="0.25">
      <c r="E347" s="1767"/>
    </row>
    <row r="348" spans="5:5" x14ac:dyDescent="0.25">
      <c r="E348" s="1767"/>
    </row>
    <row r="349" spans="5:5" x14ac:dyDescent="0.25">
      <c r="E349" s="1767"/>
    </row>
    <row r="350" spans="5:5" x14ac:dyDescent="0.25">
      <c r="E350" s="1767"/>
    </row>
    <row r="351" spans="5:5" x14ac:dyDescent="0.25">
      <c r="E351" s="1767"/>
    </row>
    <row r="352" spans="5:5" x14ac:dyDescent="0.25">
      <c r="E352" s="1767"/>
    </row>
    <row r="353" spans="5:5" x14ac:dyDescent="0.25">
      <c r="E353" s="1767"/>
    </row>
    <row r="354" spans="5:5" x14ac:dyDescent="0.25">
      <c r="E354" s="1767"/>
    </row>
    <row r="355" spans="5:5" x14ac:dyDescent="0.25">
      <c r="E355" s="1767"/>
    </row>
    <row r="356" spans="5:5" x14ac:dyDescent="0.25">
      <c r="E356" s="1767"/>
    </row>
    <row r="357" spans="5:5" x14ac:dyDescent="0.25">
      <c r="E357" s="1767"/>
    </row>
    <row r="358" spans="5:5" x14ac:dyDescent="0.25">
      <c r="E358" s="1767"/>
    </row>
    <row r="359" spans="5:5" x14ac:dyDescent="0.25">
      <c r="E359" s="1767"/>
    </row>
    <row r="360" spans="5:5" x14ac:dyDescent="0.25">
      <c r="E360" s="1767"/>
    </row>
    <row r="361" spans="5:5" x14ac:dyDescent="0.25">
      <c r="E361" s="1767"/>
    </row>
    <row r="362" spans="5:5" x14ac:dyDescent="0.25">
      <c r="E362" s="1767"/>
    </row>
    <row r="363" spans="5:5" x14ac:dyDescent="0.25">
      <c r="E363" s="1767"/>
    </row>
    <row r="364" spans="5:5" x14ac:dyDescent="0.25">
      <c r="E364" s="1767"/>
    </row>
    <row r="365" spans="5:5" x14ac:dyDescent="0.25">
      <c r="E365" s="1767"/>
    </row>
    <row r="366" spans="5:5" x14ac:dyDescent="0.25">
      <c r="E366" s="1767"/>
    </row>
    <row r="367" spans="5:5" x14ac:dyDescent="0.25">
      <c r="E367" s="1767"/>
    </row>
    <row r="368" spans="5:5" x14ac:dyDescent="0.25">
      <c r="E368" s="1767"/>
    </row>
    <row r="369" spans="5:7" x14ac:dyDescent="0.25">
      <c r="E369" s="1767"/>
    </row>
    <row r="370" spans="5:7" x14ac:dyDescent="0.25">
      <c r="E370" s="1767"/>
    </row>
    <row r="371" spans="5:7" x14ac:dyDescent="0.25">
      <c r="E371" s="1767"/>
    </row>
    <row r="372" spans="5:7" x14ac:dyDescent="0.25">
      <c r="E372" s="1767"/>
    </row>
    <row r="373" spans="5:7" x14ac:dyDescent="0.25">
      <c r="E373" s="1767"/>
      <c r="F373" s="1764"/>
      <c r="G373" s="1768"/>
    </row>
    <row r="374" spans="5:7" x14ac:dyDescent="0.25">
      <c r="E374" s="1767"/>
    </row>
    <row r="375" spans="5:7" x14ac:dyDescent="0.25">
      <c r="E375" s="1767"/>
    </row>
    <row r="376" spans="5:7" x14ac:dyDescent="0.25">
      <c r="E376" s="1767"/>
    </row>
    <row r="377" spans="5:7" x14ac:dyDescent="0.25">
      <c r="E377" s="1767"/>
    </row>
    <row r="378" spans="5:7" x14ac:dyDescent="0.25">
      <c r="E378" s="1767"/>
    </row>
    <row r="379" spans="5:7" x14ac:dyDescent="0.25">
      <c r="E379" s="1767"/>
    </row>
    <row r="380" spans="5:7" x14ac:dyDescent="0.25">
      <c r="E380" s="1767"/>
    </row>
    <row r="381" spans="5:7" x14ac:dyDescent="0.25">
      <c r="E381" s="1767"/>
    </row>
    <row r="382" spans="5:7" x14ac:dyDescent="0.25">
      <c r="E382" s="1767"/>
    </row>
    <row r="383" spans="5:7" x14ac:dyDescent="0.25">
      <c r="E383" s="1767"/>
    </row>
    <row r="384" spans="5:7" x14ac:dyDescent="0.25">
      <c r="E384" s="1767"/>
    </row>
    <row r="385" spans="5:5" x14ac:dyDescent="0.25">
      <c r="E385" s="1767"/>
    </row>
    <row r="386" spans="5:5" x14ac:dyDescent="0.25">
      <c r="E386" s="1767"/>
    </row>
    <row r="387" spans="5:5" x14ac:dyDescent="0.25">
      <c r="E387" s="1767"/>
    </row>
    <row r="388" spans="5:5" x14ac:dyDescent="0.25">
      <c r="E388" s="1767"/>
    </row>
    <row r="389" spans="5:5" x14ac:dyDescent="0.25">
      <c r="E389" s="1767"/>
    </row>
    <row r="390" spans="5:5" x14ac:dyDescent="0.25">
      <c r="E390" s="1767"/>
    </row>
    <row r="391" spans="5:5" x14ac:dyDescent="0.25">
      <c r="E391" s="1767"/>
    </row>
    <row r="392" spans="5:5" x14ac:dyDescent="0.25">
      <c r="E392" s="1767"/>
    </row>
    <row r="393" spans="5:5" x14ac:dyDescent="0.25">
      <c r="E393" s="1767"/>
    </row>
    <row r="394" spans="5:5" x14ac:dyDescent="0.25">
      <c r="E394" s="1767"/>
    </row>
    <row r="395" spans="5:5" x14ac:dyDescent="0.25">
      <c r="E395" s="1767"/>
    </row>
    <row r="396" spans="5:5" x14ac:dyDescent="0.25">
      <c r="E396" s="1767"/>
    </row>
    <row r="397" spans="5:5" x14ac:dyDescent="0.25">
      <c r="E397" s="1767"/>
    </row>
    <row r="398" spans="5:5" x14ac:dyDescent="0.25">
      <c r="E398" s="1767"/>
    </row>
    <row r="399" spans="5:5" x14ac:dyDescent="0.25">
      <c r="E399" s="1767"/>
    </row>
    <row r="400" spans="5:5" x14ac:dyDescent="0.25">
      <c r="E400" s="1767"/>
    </row>
    <row r="401" spans="5:5" x14ac:dyDescent="0.25">
      <c r="E401" s="1767"/>
    </row>
    <row r="402" spans="5:5" x14ac:dyDescent="0.25">
      <c r="E402" s="1767"/>
    </row>
    <row r="403" spans="5:5" x14ac:dyDescent="0.25">
      <c r="E403" s="1767"/>
    </row>
    <row r="404" spans="5:5" x14ac:dyDescent="0.25">
      <c r="E404" s="1767"/>
    </row>
    <row r="405" spans="5:5" x14ac:dyDescent="0.25">
      <c r="E405" s="1767"/>
    </row>
    <row r="406" spans="5:5" x14ac:dyDescent="0.25">
      <c r="E406" s="1767"/>
    </row>
    <row r="407" spans="5:5" x14ac:dyDescent="0.25">
      <c r="E407" s="1767"/>
    </row>
    <row r="408" spans="5:5" x14ac:dyDescent="0.25">
      <c r="E408" s="1767"/>
    </row>
    <row r="409" spans="5:5" x14ac:dyDescent="0.25">
      <c r="E409" s="1767"/>
    </row>
    <row r="410" spans="5:5" x14ac:dyDescent="0.25">
      <c r="E410" s="1767"/>
    </row>
    <row r="411" spans="5:5" x14ac:dyDescent="0.25">
      <c r="E411" s="1767"/>
    </row>
    <row r="412" spans="5:5" x14ac:dyDescent="0.25">
      <c r="E412" s="1767"/>
    </row>
    <row r="413" spans="5:5" x14ac:dyDescent="0.25">
      <c r="E413" s="1767"/>
    </row>
    <row r="414" spans="5:5" x14ac:dyDescent="0.25">
      <c r="E414" s="1767"/>
    </row>
    <row r="415" spans="5:5" x14ac:dyDescent="0.25">
      <c r="E415" s="1767"/>
    </row>
    <row r="416" spans="5:5" x14ac:dyDescent="0.25">
      <c r="E416" s="1767"/>
    </row>
    <row r="417" spans="5:5" x14ac:dyDescent="0.25">
      <c r="E417" s="1767"/>
    </row>
    <row r="418" spans="5:5" x14ac:dyDescent="0.25">
      <c r="E418" s="1767"/>
    </row>
    <row r="419" spans="5:5" x14ac:dyDescent="0.25">
      <c r="E419" s="1767"/>
    </row>
    <row r="420" spans="5:5" x14ac:dyDescent="0.25">
      <c r="E420" s="1767"/>
    </row>
    <row r="421" spans="5:5" x14ac:dyDescent="0.25">
      <c r="E421" s="1767"/>
    </row>
    <row r="422" spans="5:5" x14ac:dyDescent="0.25">
      <c r="E422" s="1767"/>
    </row>
    <row r="423" spans="5:5" x14ac:dyDescent="0.25">
      <c r="E423" s="1767"/>
    </row>
    <row r="424" spans="5:5" x14ac:dyDescent="0.25">
      <c r="E424" s="1767"/>
    </row>
    <row r="425" spans="5:5" x14ac:dyDescent="0.25">
      <c r="E425" s="1767"/>
    </row>
    <row r="426" spans="5:5" x14ac:dyDescent="0.25">
      <c r="E426" s="1767"/>
    </row>
    <row r="427" spans="5:5" x14ac:dyDescent="0.25">
      <c r="E427" s="1767"/>
    </row>
    <row r="428" spans="5:5" x14ac:dyDescent="0.25">
      <c r="E428" s="1767"/>
    </row>
    <row r="429" spans="5:5" x14ac:dyDescent="0.25">
      <c r="E429" s="1767"/>
    </row>
    <row r="430" spans="5:5" x14ac:dyDescent="0.25">
      <c r="E430" s="1767"/>
    </row>
    <row r="431" spans="5:5" x14ac:dyDescent="0.25">
      <c r="E431" s="1767"/>
    </row>
    <row r="432" spans="5:5" x14ac:dyDescent="0.25">
      <c r="E432" s="1767"/>
    </row>
    <row r="433" spans="5:5" x14ac:dyDescent="0.25">
      <c r="E433" s="1767"/>
    </row>
    <row r="434" spans="5:5" x14ac:dyDescent="0.25">
      <c r="E434" s="1767"/>
    </row>
    <row r="435" spans="5:5" x14ac:dyDescent="0.25">
      <c r="E435" s="1767"/>
    </row>
    <row r="436" spans="5:5" x14ac:dyDescent="0.25">
      <c r="E436" s="1767"/>
    </row>
    <row r="437" spans="5:5" x14ac:dyDescent="0.25">
      <c r="E437" s="1767"/>
    </row>
    <row r="438" spans="5:5" x14ac:dyDescent="0.25">
      <c r="E438" s="1767"/>
    </row>
    <row r="439" spans="5:5" x14ac:dyDescent="0.25">
      <c r="E439" s="1767"/>
    </row>
    <row r="440" spans="5:5" x14ac:dyDescent="0.25">
      <c r="E440" s="1767"/>
    </row>
    <row r="441" spans="5:5" x14ac:dyDescent="0.25">
      <c r="E441" s="1767"/>
    </row>
    <row r="442" spans="5:5" x14ac:dyDescent="0.25">
      <c r="E442" s="1767"/>
    </row>
    <row r="443" spans="5:5" x14ac:dyDescent="0.25">
      <c r="E443" s="1767"/>
    </row>
    <row r="444" spans="5:5" x14ac:dyDescent="0.25">
      <c r="E444" s="1767"/>
    </row>
    <row r="445" spans="5:5" x14ac:dyDescent="0.25">
      <c r="E445" s="1767"/>
    </row>
    <row r="446" spans="5:5" x14ac:dyDescent="0.25">
      <c r="E446" s="1767"/>
    </row>
    <row r="447" spans="5:5" x14ac:dyDescent="0.25">
      <c r="E447" s="1767"/>
    </row>
    <row r="448" spans="5:5" x14ac:dyDescent="0.25">
      <c r="E448" s="1767"/>
    </row>
    <row r="449" spans="5:5" x14ac:dyDescent="0.25">
      <c r="E449" s="1767"/>
    </row>
  </sheetData>
  <mergeCells count="1">
    <mergeCell ref="B185:M18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89"/>
  <sheetViews>
    <sheetView showGridLines="0" tabSelected="1" view="pageBreakPreview" topLeftCell="A25" zoomScale="80" zoomScaleSheetLayoutView="80" workbookViewId="0">
      <selection activeCell="C66" sqref="C66"/>
    </sheetView>
  </sheetViews>
  <sheetFormatPr defaultColWidth="9.140625" defaultRowHeight="15" x14ac:dyDescent="0.2"/>
  <cols>
    <col min="1" max="1" width="6.7109375" style="4" customWidth="1"/>
    <col min="2" max="2" width="67.28515625" style="3" customWidth="1"/>
    <col min="3" max="6" width="18.7109375" style="3" customWidth="1"/>
    <col min="7" max="7" width="14.28515625" style="4" bestFit="1" customWidth="1"/>
    <col min="8" max="16384" width="9.140625" style="3"/>
  </cols>
  <sheetData>
    <row r="1" spans="1:7" x14ac:dyDescent="0.2">
      <c r="B1" s="1875" t="s">
        <v>377</v>
      </c>
      <c r="C1" s="1875"/>
      <c r="D1" s="1875"/>
      <c r="E1" s="1875"/>
      <c r="F1" s="1875"/>
    </row>
    <row r="2" spans="1:7" x14ac:dyDescent="0.2">
      <c r="C2" s="1" t="s">
        <v>294</v>
      </c>
    </row>
    <row r="3" spans="1:7" x14ac:dyDescent="0.2">
      <c r="C3" s="2" t="s">
        <v>135</v>
      </c>
    </row>
    <row r="4" spans="1:7" x14ac:dyDescent="0.2">
      <c r="C4" s="2"/>
    </row>
    <row r="5" spans="1:7" x14ac:dyDescent="0.2">
      <c r="B5" s="51" t="s">
        <v>135</v>
      </c>
    </row>
    <row r="6" spans="1:7" x14ac:dyDescent="0.2">
      <c r="A6" s="5"/>
      <c r="B6" s="5"/>
      <c r="C6" s="5" t="s">
        <v>389</v>
      </c>
      <c r="D6" s="5"/>
      <c r="E6" s="5" t="s">
        <v>3019</v>
      </c>
      <c r="F6" s="45" t="s">
        <v>169</v>
      </c>
    </row>
    <row r="7" spans="1:7" ht="28.5" x14ac:dyDescent="0.2">
      <c r="A7" s="6" t="s">
        <v>3</v>
      </c>
      <c r="B7" s="53" t="s">
        <v>18</v>
      </c>
      <c r="C7" s="1874" t="s">
        <v>149</v>
      </c>
      <c r="D7" s="1874"/>
      <c r="E7" s="1874" t="s">
        <v>150</v>
      </c>
      <c r="F7" s="1874"/>
      <c r="G7" s="30"/>
    </row>
    <row r="8" spans="1:7" x14ac:dyDescent="0.2">
      <c r="A8" s="54" t="s">
        <v>28</v>
      </c>
      <c r="B8" s="55" t="s">
        <v>35</v>
      </c>
      <c r="C8" s="46"/>
      <c r="D8" s="46"/>
      <c r="E8" s="46"/>
      <c r="F8" s="46"/>
      <c r="G8" s="47"/>
    </row>
    <row r="9" spans="1:7" x14ac:dyDescent="0.2">
      <c r="A9" s="54"/>
      <c r="B9" s="192" t="s">
        <v>174</v>
      </c>
      <c r="C9" s="1817">
        <f>+CFS!D7</f>
        <v>45.017248804008943</v>
      </c>
      <c r="D9" s="1817"/>
      <c r="E9" s="1817">
        <f>+CFS!E7</f>
        <v>-810.82052673700082</v>
      </c>
      <c r="F9" s="46"/>
      <c r="G9" s="47"/>
    </row>
    <row r="10" spans="1:7" x14ac:dyDescent="0.2">
      <c r="A10" s="54"/>
      <c r="B10" s="192" t="s">
        <v>175</v>
      </c>
      <c r="C10" s="1817"/>
      <c r="D10" s="1817"/>
      <c r="E10" s="1817"/>
      <c r="F10" s="46"/>
      <c r="G10" s="47"/>
    </row>
    <row r="11" spans="1:7" x14ac:dyDescent="0.2">
      <c r="A11" s="54" t="s">
        <v>2</v>
      </c>
      <c r="B11" s="55" t="s">
        <v>176</v>
      </c>
      <c r="C11" s="1817">
        <f>+CFS!D10</f>
        <v>2687.7448922469998</v>
      </c>
      <c r="D11" s="1817"/>
      <c r="E11" s="1817">
        <f>+CFS!E10</f>
        <v>2842.8386249599998</v>
      </c>
      <c r="F11" s="46"/>
      <c r="G11" s="47"/>
    </row>
    <row r="12" spans="1:7" x14ac:dyDescent="0.2">
      <c r="A12" s="54" t="s">
        <v>0</v>
      </c>
      <c r="B12" s="55" t="s">
        <v>177</v>
      </c>
      <c r="C12" s="1817">
        <f>+CFS!D19</f>
        <v>3610.9410095520002</v>
      </c>
      <c r="D12" s="1817"/>
      <c r="E12" s="1817">
        <f>+CFS!E19</f>
        <v>3493.1497996790008</v>
      </c>
      <c r="F12" s="46"/>
      <c r="G12" s="47"/>
    </row>
    <row r="13" spans="1:7" x14ac:dyDescent="0.2">
      <c r="A13" s="54" t="s">
        <v>181</v>
      </c>
      <c r="B13" s="55" t="s">
        <v>178</v>
      </c>
      <c r="C13" s="1817"/>
      <c r="D13" s="1817"/>
      <c r="E13" s="1817"/>
      <c r="F13" s="46"/>
      <c r="G13" s="47"/>
    </row>
    <row r="14" spans="1:7" x14ac:dyDescent="0.2">
      <c r="A14" s="54" t="s">
        <v>182</v>
      </c>
      <c r="B14" s="55" t="s">
        <v>179</v>
      </c>
      <c r="C14" s="1817"/>
      <c r="D14" s="1817"/>
      <c r="E14" s="1817"/>
      <c r="F14" s="46"/>
      <c r="G14" s="47"/>
    </row>
    <row r="15" spans="1:7" x14ac:dyDescent="0.2">
      <c r="A15" s="54" t="s">
        <v>181</v>
      </c>
      <c r="B15" s="55" t="s">
        <v>180</v>
      </c>
      <c r="C15" s="1817"/>
      <c r="D15" s="1817"/>
      <c r="E15" s="1817"/>
      <c r="F15" s="46"/>
      <c r="G15" s="47"/>
    </row>
    <row r="16" spans="1:7" x14ac:dyDescent="0.2">
      <c r="A16" s="11" t="s">
        <v>191</v>
      </c>
      <c r="B16" s="3" t="s">
        <v>305</v>
      </c>
      <c r="C16" s="1817">
        <f>+CFS!D20+CFS!D21+CFS!D23+CFS!D24</f>
        <v>22.67001491499996</v>
      </c>
      <c r="D16" s="1817"/>
      <c r="E16" s="1817">
        <f>+CFS!E20+CFS!E21+CFS!E23+CFS!E24</f>
        <v>32.316105300000004</v>
      </c>
      <c r="F16" s="46"/>
      <c r="G16" s="47"/>
    </row>
    <row r="17" spans="1:7" x14ac:dyDescent="0.2">
      <c r="A17" s="11"/>
      <c r="B17" s="56" t="s">
        <v>183</v>
      </c>
      <c r="C17" s="1817"/>
      <c r="D17" s="1817"/>
      <c r="E17" s="1817"/>
      <c r="F17" s="46"/>
      <c r="G17" s="47"/>
    </row>
    <row r="18" spans="1:7" x14ac:dyDescent="0.2">
      <c r="A18" s="11"/>
      <c r="B18" s="48" t="s">
        <v>184</v>
      </c>
      <c r="C18" s="1817"/>
      <c r="D18" s="1817"/>
      <c r="E18" s="1817"/>
      <c r="F18" s="46"/>
      <c r="G18" s="47"/>
    </row>
    <row r="19" spans="1:7" x14ac:dyDescent="0.2">
      <c r="A19" s="11"/>
      <c r="B19" s="48" t="s">
        <v>185</v>
      </c>
      <c r="C19" s="1817"/>
      <c r="D19" s="1817"/>
      <c r="E19" s="1817"/>
      <c r="F19" s="46"/>
      <c r="G19" s="47"/>
    </row>
    <row r="20" spans="1:7" x14ac:dyDescent="0.2">
      <c r="A20" s="11"/>
      <c r="B20" s="48" t="s">
        <v>186</v>
      </c>
      <c r="C20" s="1817"/>
      <c r="D20" s="1817"/>
      <c r="E20" s="1817"/>
      <c r="F20" s="46"/>
      <c r="G20" s="47"/>
    </row>
    <row r="21" spans="1:7" x14ac:dyDescent="0.2">
      <c r="A21" s="11" t="s">
        <v>2</v>
      </c>
      <c r="B21" s="56" t="s">
        <v>187</v>
      </c>
      <c r="C21" s="1817">
        <f>+CFS!D30</f>
        <v>-804.15295667099952</v>
      </c>
      <c r="D21" s="1817"/>
      <c r="E21" s="1817">
        <f>+CFS!E30</f>
        <v>-875.30820225700063</v>
      </c>
      <c r="F21" s="46"/>
      <c r="G21" s="47"/>
    </row>
    <row r="22" spans="1:7" x14ac:dyDescent="0.2">
      <c r="A22" s="11" t="s">
        <v>0</v>
      </c>
      <c r="B22" s="56" t="s">
        <v>188</v>
      </c>
      <c r="C22" s="1817">
        <f>+CFS!D28</f>
        <v>-1335.0889919700005</v>
      </c>
      <c r="D22" s="1817"/>
      <c r="E22" s="1817">
        <f>+CFS!E28</f>
        <v>-3120.8703763300018</v>
      </c>
      <c r="F22" s="46"/>
      <c r="G22" s="47"/>
    </row>
    <row r="23" spans="1:7" x14ac:dyDescent="0.2">
      <c r="A23" s="11" t="s">
        <v>182</v>
      </c>
      <c r="B23" s="56" t="s">
        <v>189</v>
      </c>
      <c r="C23" s="1817">
        <f>+CFS!D29</f>
        <v>-228.46874491800139</v>
      </c>
      <c r="D23" s="1817"/>
      <c r="E23" s="1817">
        <f>+CFS!E29</f>
        <v>-197.95821027900001</v>
      </c>
      <c r="F23" s="46"/>
      <c r="G23" s="47"/>
    </row>
    <row r="24" spans="1:7" x14ac:dyDescent="0.2">
      <c r="A24" s="11" t="s">
        <v>181</v>
      </c>
      <c r="B24" s="56" t="s">
        <v>190</v>
      </c>
      <c r="C24" s="1817"/>
      <c r="D24" s="1817"/>
      <c r="E24" s="1817"/>
      <c r="F24" s="46"/>
      <c r="G24" s="47"/>
    </row>
    <row r="25" spans="1:7" x14ac:dyDescent="0.2">
      <c r="A25" s="11" t="s">
        <v>191</v>
      </c>
      <c r="B25" s="56" t="s">
        <v>192</v>
      </c>
      <c r="C25" s="1817"/>
      <c r="D25" s="1817"/>
      <c r="E25" s="1817"/>
      <c r="F25" s="46"/>
      <c r="G25" s="47"/>
    </row>
    <row r="26" spans="1:7" x14ac:dyDescent="0.2">
      <c r="A26" s="11" t="s">
        <v>193</v>
      </c>
      <c r="B26" s="56" t="s">
        <v>194</v>
      </c>
      <c r="C26" s="1817"/>
      <c r="D26" s="1817"/>
      <c r="E26" s="1817"/>
      <c r="F26" s="46"/>
      <c r="G26" s="47"/>
    </row>
    <row r="27" spans="1:7" x14ac:dyDescent="0.2">
      <c r="A27" s="11"/>
      <c r="B27" s="56" t="s">
        <v>183</v>
      </c>
      <c r="C27" s="1817"/>
      <c r="D27" s="1817"/>
      <c r="E27" s="1817"/>
      <c r="F27" s="46"/>
      <c r="G27" s="47"/>
    </row>
    <row r="28" spans="1:7" x14ac:dyDescent="0.2">
      <c r="A28" s="11"/>
      <c r="B28" s="56" t="s">
        <v>183</v>
      </c>
      <c r="C28" s="1817"/>
      <c r="D28" s="1817"/>
      <c r="E28" s="1817"/>
      <c r="F28" s="46"/>
      <c r="G28" s="47"/>
    </row>
    <row r="29" spans="1:7" x14ac:dyDescent="0.2">
      <c r="A29" s="11"/>
      <c r="B29" s="48" t="s">
        <v>195</v>
      </c>
      <c r="C29" s="1817"/>
      <c r="D29" s="1817"/>
      <c r="E29" s="1817"/>
      <c r="F29" s="46"/>
      <c r="G29" s="47"/>
    </row>
    <row r="30" spans="1:7" x14ac:dyDescent="0.2">
      <c r="A30" s="11" t="s">
        <v>2</v>
      </c>
      <c r="B30" s="56" t="s">
        <v>196</v>
      </c>
      <c r="C30" s="1817">
        <f>+CFS!D31</f>
        <v>2689.99859242908</v>
      </c>
      <c r="D30" s="1817"/>
      <c r="E30" s="1817">
        <f>+CFS!E31</f>
        <v>1670.3599325849998</v>
      </c>
      <c r="F30" s="46"/>
      <c r="G30" s="47"/>
    </row>
    <row r="31" spans="1:7" x14ac:dyDescent="0.2">
      <c r="A31" s="11" t="s">
        <v>0</v>
      </c>
      <c r="B31" s="56" t="s">
        <v>197</v>
      </c>
      <c r="C31" s="1817"/>
      <c r="D31" s="1817"/>
      <c r="E31" s="1817"/>
      <c r="F31" s="46"/>
      <c r="G31" s="47"/>
    </row>
    <row r="32" spans="1:7" x14ac:dyDescent="0.2">
      <c r="A32" s="11"/>
      <c r="B32" s="56" t="s">
        <v>183</v>
      </c>
      <c r="C32" s="1817"/>
      <c r="D32" s="1817"/>
      <c r="E32" s="1817"/>
      <c r="F32" s="46"/>
      <c r="G32" s="47"/>
    </row>
    <row r="33" spans="1:7" x14ac:dyDescent="0.2">
      <c r="A33" s="11"/>
      <c r="B33" s="56" t="s">
        <v>183</v>
      </c>
      <c r="C33" s="1817"/>
      <c r="D33" s="1817"/>
      <c r="E33" s="1817"/>
      <c r="F33" s="46"/>
      <c r="G33" s="47"/>
    </row>
    <row r="34" spans="1:7" x14ac:dyDescent="0.2">
      <c r="A34" s="11"/>
      <c r="B34" s="48" t="s">
        <v>198</v>
      </c>
      <c r="C34" s="1817"/>
      <c r="D34" s="1817"/>
      <c r="E34" s="1817"/>
      <c r="F34" s="46"/>
      <c r="G34" s="47"/>
    </row>
    <row r="35" spans="1:7" x14ac:dyDescent="0.2">
      <c r="A35" s="11"/>
      <c r="B35" s="48" t="s">
        <v>199</v>
      </c>
      <c r="C35" s="1827">
        <f>+SUM(C9:C31)</f>
        <v>6688.6610643880877</v>
      </c>
      <c r="D35" s="1827"/>
      <c r="E35" s="1827">
        <f>+SUM(E9:E31)</f>
        <v>3033.7071469209977</v>
      </c>
      <c r="F35" s="46"/>
      <c r="G35" s="47"/>
    </row>
    <row r="36" spans="1:7" x14ac:dyDescent="0.2">
      <c r="A36" s="11"/>
      <c r="B36" s="56" t="s">
        <v>200</v>
      </c>
      <c r="C36" s="1817"/>
      <c r="D36" s="1817"/>
      <c r="E36" s="1817"/>
      <c r="F36" s="46"/>
      <c r="G36" s="47"/>
    </row>
    <row r="37" spans="1:7" x14ac:dyDescent="0.2">
      <c r="A37" s="11"/>
      <c r="B37" s="48" t="s">
        <v>201</v>
      </c>
      <c r="C37" s="1817"/>
      <c r="D37" s="1817"/>
      <c r="E37" s="1817"/>
      <c r="F37" s="46"/>
      <c r="G37" s="47"/>
    </row>
    <row r="38" spans="1:7" x14ac:dyDescent="0.2">
      <c r="A38" s="11" t="s">
        <v>29</v>
      </c>
      <c r="B38" s="10" t="s">
        <v>114</v>
      </c>
      <c r="C38" s="1817"/>
      <c r="D38" s="1827"/>
      <c r="E38" s="1817"/>
      <c r="F38" s="49"/>
      <c r="G38" s="47"/>
    </row>
    <row r="39" spans="1:7" x14ac:dyDescent="0.2">
      <c r="A39" s="17" t="s">
        <v>2</v>
      </c>
      <c r="B39" s="10" t="s">
        <v>202</v>
      </c>
      <c r="C39" s="1817">
        <f>+CFS!D40+CFS!D41</f>
        <v>-2282.3148577909969</v>
      </c>
      <c r="D39" s="1817"/>
      <c r="E39" s="1817">
        <f>+CFS!E40+CFS!E41</f>
        <v>-2142.3806306670067</v>
      </c>
      <c r="F39" s="46"/>
      <c r="G39" s="47"/>
    </row>
    <row r="40" spans="1:7" x14ac:dyDescent="0.2">
      <c r="A40" s="17" t="s">
        <v>0</v>
      </c>
      <c r="B40" s="10" t="s">
        <v>3058</v>
      </c>
      <c r="C40" s="1817">
        <f>+CFS!D43+CFS!D46</f>
        <v>-0.22034500399999246</v>
      </c>
      <c r="D40" s="1817"/>
      <c r="E40" s="1817">
        <f>+CFS!E43+CFS!E46</f>
        <v>0.12969787999999305</v>
      </c>
      <c r="F40" s="46"/>
      <c r="G40" s="47"/>
    </row>
    <row r="41" spans="1:7" x14ac:dyDescent="0.2">
      <c r="A41" s="188"/>
      <c r="B41" s="10" t="s">
        <v>183</v>
      </c>
      <c r="C41" s="1817"/>
      <c r="D41" s="1817"/>
      <c r="E41" s="1817"/>
      <c r="F41" s="46"/>
      <c r="G41" s="47"/>
    </row>
    <row r="42" spans="1:7" x14ac:dyDescent="0.2">
      <c r="A42" s="188"/>
      <c r="B42" s="10" t="s">
        <v>183</v>
      </c>
      <c r="C42" s="1817"/>
      <c r="D42" s="1817"/>
      <c r="E42" s="1817"/>
      <c r="F42" s="46"/>
      <c r="G42" s="47"/>
    </row>
    <row r="43" spans="1:7" x14ac:dyDescent="0.2">
      <c r="A43" s="11"/>
      <c r="B43" s="9" t="s">
        <v>203</v>
      </c>
      <c r="C43" s="1827">
        <f>SUM(C39:C42)</f>
        <v>-2282.5352027949971</v>
      </c>
      <c r="D43" s="1827"/>
      <c r="E43" s="1827">
        <f>SUM(E39:E42)</f>
        <v>-2142.2509327870066</v>
      </c>
      <c r="F43" s="49"/>
      <c r="G43" s="47"/>
    </row>
    <row r="44" spans="1:7" x14ac:dyDescent="0.2">
      <c r="A44" s="11" t="s">
        <v>30</v>
      </c>
      <c r="B44" s="10" t="s">
        <v>115</v>
      </c>
      <c r="C44" s="1817"/>
      <c r="D44" s="1817"/>
      <c r="E44" s="1817"/>
      <c r="F44" s="46"/>
      <c r="G44" s="47"/>
    </row>
    <row r="45" spans="1:7" x14ac:dyDescent="0.2">
      <c r="A45" s="11" t="s">
        <v>2</v>
      </c>
      <c r="B45" s="10" t="s">
        <v>204</v>
      </c>
      <c r="C45" s="1817">
        <f>+CFS!D53</f>
        <v>294.54909999999865</v>
      </c>
      <c r="D45" s="1817"/>
      <c r="E45" s="1817">
        <f>+CFS!E53</f>
        <v>91.141003426003522</v>
      </c>
      <c r="F45" s="46"/>
      <c r="G45" s="47"/>
    </row>
    <row r="46" spans="1:7" x14ac:dyDescent="0.2">
      <c r="A46" s="11" t="s">
        <v>0</v>
      </c>
      <c r="B46" s="10" t="s">
        <v>205</v>
      </c>
      <c r="C46" s="1817">
        <f>+CFS!D51+CFS!D52</f>
        <v>-41.032758767924861</v>
      </c>
      <c r="D46" s="1817"/>
      <c r="E46" s="1817">
        <f>+CFS!E51+CFS!E52</f>
        <v>1898.1449605969501</v>
      </c>
      <c r="F46" s="46"/>
      <c r="G46" s="47"/>
    </row>
    <row r="47" spans="1:7" x14ac:dyDescent="0.2">
      <c r="A47" s="11" t="s">
        <v>182</v>
      </c>
      <c r="B47" s="10" t="s">
        <v>206</v>
      </c>
      <c r="C47" s="46">
        <v>0</v>
      </c>
      <c r="D47" s="46"/>
      <c r="E47" s="46">
        <v>0</v>
      </c>
      <c r="F47" s="46"/>
      <c r="G47" s="47"/>
    </row>
    <row r="48" spans="1:7" x14ac:dyDescent="0.2">
      <c r="A48" s="11" t="s">
        <v>181</v>
      </c>
      <c r="B48" s="10" t="s">
        <v>207</v>
      </c>
      <c r="C48" s="46">
        <f>+CFS!D54</f>
        <v>-1150.5961997970028</v>
      </c>
      <c r="D48" s="46"/>
      <c r="E48" s="1817">
        <f>+CFS!E54</f>
        <v>1151.3683897969991</v>
      </c>
      <c r="F48" s="46"/>
      <c r="G48" s="47"/>
    </row>
    <row r="49" spans="1:7" x14ac:dyDescent="0.2">
      <c r="A49" s="11" t="s">
        <v>191</v>
      </c>
      <c r="B49" s="10" t="s">
        <v>208</v>
      </c>
      <c r="C49" s="46">
        <f>+CFS!D56</f>
        <v>-3484.7850724520003</v>
      </c>
      <c r="D49" s="46"/>
      <c r="E49" s="1817">
        <f>+CFS!E56</f>
        <v>-3097.5762837300008</v>
      </c>
      <c r="F49" s="46"/>
      <c r="G49" s="47"/>
    </row>
    <row r="50" spans="1:7" x14ac:dyDescent="0.2">
      <c r="A50" s="11" t="s">
        <v>193</v>
      </c>
      <c r="B50" s="10" t="s">
        <v>2397</v>
      </c>
      <c r="C50" s="46">
        <f>+CFS!D55</f>
        <v>210.48789070000007</v>
      </c>
      <c r="D50" s="46"/>
      <c r="E50" s="1817">
        <f>+CFS!E55</f>
        <v>409.99323279999999</v>
      </c>
      <c r="F50" s="46"/>
      <c r="G50" s="47"/>
    </row>
    <row r="51" spans="1:7" x14ac:dyDescent="0.2">
      <c r="A51" s="11" t="s">
        <v>3059</v>
      </c>
      <c r="B51" s="10" t="s">
        <v>2399</v>
      </c>
      <c r="C51" s="46">
        <f>+CFS!D57</f>
        <v>-491.57608076000002</v>
      </c>
      <c r="D51" s="46"/>
      <c r="E51" s="1817">
        <f>+CFS!E57</f>
        <v>-492.57211519999993</v>
      </c>
      <c r="F51" s="46"/>
      <c r="G51" s="47"/>
    </row>
    <row r="52" spans="1:7" x14ac:dyDescent="0.2">
      <c r="A52" s="11"/>
      <c r="B52" s="10" t="s">
        <v>183</v>
      </c>
      <c r="C52" s="46"/>
      <c r="D52" s="46"/>
      <c r="E52" s="46"/>
      <c r="F52" s="46"/>
      <c r="G52" s="47"/>
    </row>
    <row r="53" spans="1:7" x14ac:dyDescent="0.2">
      <c r="A53" s="17"/>
      <c r="B53" s="10" t="s">
        <v>183</v>
      </c>
      <c r="C53" s="46"/>
      <c r="D53" s="46"/>
      <c r="E53" s="46"/>
      <c r="F53" s="46"/>
      <c r="G53" s="47"/>
    </row>
    <row r="54" spans="1:7" x14ac:dyDescent="0.2">
      <c r="A54" s="188"/>
      <c r="B54" s="196" t="s">
        <v>209</v>
      </c>
      <c r="C54" s="1827">
        <f>SUM(C45:C53)</f>
        <v>-4662.9531210769292</v>
      </c>
      <c r="D54" s="49"/>
      <c r="E54" s="1827">
        <f>SUM(E45:E53)</f>
        <v>-39.500812310048161</v>
      </c>
      <c r="F54" s="46"/>
      <c r="G54" s="47"/>
    </row>
    <row r="55" spans="1:7" x14ac:dyDescent="0.2">
      <c r="A55" s="57" t="s">
        <v>31</v>
      </c>
      <c r="B55" s="48" t="s">
        <v>116</v>
      </c>
      <c r="C55" s="1817">
        <f>+C54+C43+C35</f>
        <v>-256.82725948383904</v>
      </c>
      <c r="D55" s="49"/>
      <c r="E55" s="1817">
        <f>+E54+E43+E35</f>
        <v>851.95540182394279</v>
      </c>
      <c r="F55" s="49"/>
      <c r="G55" s="47"/>
    </row>
    <row r="56" spans="1:7" x14ac:dyDescent="0.2">
      <c r="A56" s="11" t="s">
        <v>32</v>
      </c>
      <c r="B56" s="48" t="s">
        <v>117</v>
      </c>
      <c r="C56" s="1817">
        <v>263.67808044699996</v>
      </c>
      <c r="D56" s="49"/>
      <c r="E56" s="1817">
        <f>+CFS!E61</f>
        <v>20.534823367000008</v>
      </c>
      <c r="F56" s="49"/>
      <c r="G56" s="47"/>
    </row>
    <row r="57" spans="1:7" x14ac:dyDescent="0.2">
      <c r="A57" s="11" t="s">
        <v>33</v>
      </c>
      <c r="B57" s="48" t="s">
        <v>118</v>
      </c>
      <c r="C57" s="1827">
        <f>+C56+C55</f>
        <v>6.8508209631609134</v>
      </c>
      <c r="D57" s="49"/>
      <c r="E57" s="1827">
        <f>+E56+E55</f>
        <v>872.49022519094285</v>
      </c>
      <c r="F57" s="49"/>
      <c r="G57" s="47"/>
    </row>
    <row r="58" spans="1:7" ht="15.75" x14ac:dyDescent="0.2">
      <c r="A58" s="86"/>
      <c r="B58" s="1830" t="s">
        <v>2402</v>
      </c>
      <c r="C58" s="1818"/>
      <c r="D58" s="1819"/>
      <c r="E58" s="1818"/>
      <c r="F58" s="1819"/>
      <c r="G58" s="47"/>
    </row>
    <row r="59" spans="1:7" ht="15.75" x14ac:dyDescent="0.2">
      <c r="A59" s="86"/>
      <c r="B59" s="1830" t="s">
        <v>2403</v>
      </c>
      <c r="C59" s="1818"/>
      <c r="D59" s="1819"/>
      <c r="E59" s="1818"/>
      <c r="F59" s="1819"/>
      <c r="G59" s="47"/>
    </row>
    <row r="60" spans="1:7" x14ac:dyDescent="0.2">
      <c r="A60" s="86"/>
      <c r="B60" s="1831" t="s">
        <v>2404</v>
      </c>
      <c r="C60" s="1818"/>
      <c r="D60" s="1819"/>
      <c r="E60" s="1818"/>
      <c r="F60" s="1819"/>
      <c r="G60" s="47"/>
    </row>
    <row r="61" spans="1:7" x14ac:dyDescent="0.2">
      <c r="A61" s="86"/>
      <c r="B61" s="1831" t="s">
        <v>2405</v>
      </c>
      <c r="C61" s="1818">
        <f>+CFS!D71</f>
        <v>6.8380321949999985</v>
      </c>
      <c r="D61" s="1819"/>
      <c r="E61" s="1818">
        <f>+CFS!E71</f>
        <v>263.66342570199998</v>
      </c>
      <c r="F61" s="1819"/>
      <c r="G61" s="47"/>
    </row>
    <row r="62" spans="1:7" x14ac:dyDescent="0.2">
      <c r="A62" s="86"/>
      <c r="B62" s="1831" t="s">
        <v>2406</v>
      </c>
      <c r="C62" s="1818"/>
      <c r="D62" s="1819"/>
      <c r="E62" s="1818"/>
      <c r="F62" s="1819"/>
      <c r="G62" s="47"/>
    </row>
    <row r="63" spans="1:7" x14ac:dyDescent="0.2">
      <c r="A63" s="86"/>
      <c r="B63" s="1831" t="s">
        <v>2407</v>
      </c>
      <c r="C63" s="1818"/>
      <c r="D63" s="1819"/>
      <c r="E63" s="1818">
        <f>+CFS!E73</f>
        <v>608.81214132600007</v>
      </c>
      <c r="F63" s="1819"/>
      <c r="G63" s="47"/>
    </row>
    <row r="64" spans="1:7" x14ac:dyDescent="0.2">
      <c r="A64" s="86"/>
      <c r="B64" s="1831" t="s">
        <v>2408</v>
      </c>
      <c r="C64" s="1818">
        <f>+CFS!D74</f>
        <v>1.139657E-2</v>
      </c>
      <c r="D64" s="1819"/>
      <c r="E64" s="1818">
        <f>+CFS!E74</f>
        <v>1.4654745E-2</v>
      </c>
      <c r="F64" s="1819"/>
      <c r="G64" s="47"/>
    </row>
    <row r="65" spans="1:7" ht="15.75" x14ac:dyDescent="0.2">
      <c r="A65" s="86"/>
      <c r="B65" s="1830"/>
      <c r="C65" s="1818"/>
      <c r="D65" s="1819"/>
      <c r="E65" s="1818"/>
      <c r="F65" s="1819"/>
      <c r="G65" s="47"/>
    </row>
    <row r="66" spans="1:7" ht="15.75" x14ac:dyDescent="0.2">
      <c r="A66" s="82"/>
      <c r="B66" s="1830" t="s">
        <v>118</v>
      </c>
      <c r="C66" s="1819">
        <f>SUM(C60:C65)</f>
        <v>6.8494287649999981</v>
      </c>
      <c r="D66" s="1819"/>
      <c r="E66" s="1819">
        <f>SUM(E60:E65)</f>
        <v>872.49022177300014</v>
      </c>
      <c r="F66" s="82"/>
      <c r="G66" s="47"/>
    </row>
    <row r="67" spans="1:7" x14ac:dyDescent="0.2">
      <c r="A67" s="30"/>
      <c r="B67" s="7"/>
      <c r="C67" s="1828"/>
      <c r="D67" s="1829"/>
      <c r="E67" s="1829"/>
      <c r="F67" s="1829"/>
      <c r="G67" s="47"/>
    </row>
    <row r="68" spans="1:7" x14ac:dyDescent="0.2">
      <c r="A68" s="27"/>
      <c r="G68" s="47"/>
    </row>
    <row r="69" spans="1:7" x14ac:dyDescent="0.2">
      <c r="A69" s="4" t="s">
        <v>380</v>
      </c>
      <c r="B69" s="3" t="s">
        <v>321</v>
      </c>
      <c r="G69" s="47"/>
    </row>
    <row r="70" spans="1:7" x14ac:dyDescent="0.2">
      <c r="G70" s="47"/>
    </row>
    <row r="71" spans="1:7" x14ac:dyDescent="0.2">
      <c r="G71" s="47"/>
    </row>
    <row r="74" spans="1:7" s="51" customFormat="1" x14ac:dyDescent="0.2">
      <c r="A74" s="4"/>
      <c r="B74" s="3"/>
      <c r="C74" s="3"/>
      <c r="D74" s="3"/>
      <c r="E74" s="3"/>
      <c r="F74" s="3"/>
    </row>
    <row r="75" spans="1:7" s="51" customFormat="1" x14ac:dyDescent="0.2">
      <c r="A75" s="4"/>
      <c r="B75" s="3"/>
      <c r="C75" s="3"/>
      <c r="D75" s="3"/>
      <c r="E75" s="3"/>
      <c r="F75" s="3"/>
      <c r="G75" s="19"/>
    </row>
    <row r="76" spans="1:7" s="51" customFormat="1" x14ac:dyDescent="0.2">
      <c r="A76" s="4"/>
      <c r="B76" s="3"/>
      <c r="C76" s="3"/>
      <c r="D76" s="3"/>
      <c r="E76" s="3"/>
      <c r="F76" s="3"/>
      <c r="G76" s="19"/>
    </row>
    <row r="77" spans="1:7" x14ac:dyDescent="0.2">
      <c r="G77" s="30"/>
    </row>
    <row r="78" spans="1:7" x14ac:dyDescent="0.2">
      <c r="G78" s="30"/>
    </row>
    <row r="79" spans="1:7" x14ac:dyDescent="0.2">
      <c r="G79" s="30"/>
    </row>
    <row r="80" spans="1:7" x14ac:dyDescent="0.2">
      <c r="G80" s="30"/>
    </row>
    <row r="81" spans="7:7" x14ac:dyDescent="0.2">
      <c r="G81" s="47"/>
    </row>
    <row r="82" spans="7:7" x14ac:dyDescent="0.2">
      <c r="G82" s="47"/>
    </row>
    <row r="85" spans="7:7" x14ac:dyDescent="0.2">
      <c r="G85" s="47"/>
    </row>
    <row r="86" spans="7:7" x14ac:dyDescent="0.2">
      <c r="G86" s="47"/>
    </row>
    <row r="87" spans="7:7" x14ac:dyDescent="0.2">
      <c r="G87" s="52"/>
    </row>
    <row r="88" spans="7:7" x14ac:dyDescent="0.2">
      <c r="G88" s="30"/>
    </row>
    <row r="89" spans="7:7" x14ac:dyDescent="0.2">
      <c r="G89" s="30"/>
    </row>
  </sheetData>
  <mergeCells count="3">
    <mergeCell ref="C7:D7"/>
    <mergeCell ref="E7:F7"/>
    <mergeCell ref="B1:F1"/>
  </mergeCells>
  <printOptions horizontalCentered="1"/>
  <pageMargins left="0.78740157480314965" right="0.39370078740157483" top="0.78740157480314965" bottom="0.19685039370078741" header="0.31496062992125984" footer="0.31496062992125984"/>
  <pageSetup paperSize="9" scale="6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F4" sqref="F4:F22"/>
    </sheetView>
  </sheetViews>
  <sheetFormatPr defaultColWidth="9.140625" defaultRowHeight="15" x14ac:dyDescent="0.25"/>
  <cols>
    <col min="1" max="1" width="9.140625" style="1769"/>
    <col min="2" max="2" width="23.28515625" style="1769" customWidth="1"/>
    <col min="3" max="3" width="20.140625" style="1769" customWidth="1"/>
    <col min="4" max="4" width="16.42578125" style="1769" customWidth="1"/>
    <col min="5" max="5" width="15.7109375" style="1769" customWidth="1"/>
    <col min="6" max="6" width="19.7109375" style="1804" customWidth="1"/>
    <col min="7" max="7" width="25.42578125" style="1769" customWidth="1"/>
    <col min="8" max="8" width="30.140625" style="1769" customWidth="1"/>
    <col min="9" max="9" width="32.5703125" style="1769" customWidth="1"/>
    <col min="10" max="16384" width="9.140625" style="1769"/>
  </cols>
  <sheetData>
    <row r="1" spans="1:9" ht="18.75" x14ac:dyDescent="0.3">
      <c r="A1" s="2063" t="s">
        <v>2958</v>
      </c>
      <c r="B1" s="2063"/>
      <c r="C1" s="2063"/>
      <c r="D1" s="2063"/>
      <c r="E1" s="2063"/>
      <c r="F1" s="2063"/>
      <c r="G1" s="2063"/>
      <c r="H1" s="2063"/>
      <c r="I1" s="2063"/>
    </row>
    <row r="2" spans="1:9" ht="18.75" x14ac:dyDescent="0.3">
      <c r="A2" s="1770"/>
      <c r="B2" s="1770"/>
      <c r="C2" s="1770"/>
      <c r="D2" s="1770"/>
      <c r="E2" s="1770"/>
      <c r="F2" s="1771"/>
      <c r="G2" s="1770"/>
      <c r="H2" s="1770"/>
      <c r="I2" s="1770"/>
    </row>
    <row r="3" spans="1:9" ht="56.25" x14ac:dyDescent="0.25">
      <c r="A3" s="1772" t="s">
        <v>5</v>
      </c>
      <c r="B3" s="1772" t="s">
        <v>2954</v>
      </c>
      <c r="C3" s="1772" t="s">
        <v>2953</v>
      </c>
      <c r="D3" s="1772" t="s">
        <v>2951</v>
      </c>
      <c r="E3" s="1772" t="s">
        <v>2959</v>
      </c>
      <c r="F3" s="1773" t="s">
        <v>2960</v>
      </c>
      <c r="G3" s="1772" t="s">
        <v>2961</v>
      </c>
      <c r="H3" s="1772" t="s">
        <v>2962</v>
      </c>
      <c r="I3" s="1772" t="s">
        <v>2945</v>
      </c>
    </row>
    <row r="4" spans="1:9" ht="56.25" x14ac:dyDescent="0.25">
      <c r="A4" s="1774">
        <v>1</v>
      </c>
      <c r="B4" s="1774" t="s">
        <v>2963</v>
      </c>
      <c r="C4" s="1775" t="s">
        <v>2964</v>
      </c>
      <c r="D4" s="2064" t="s">
        <v>2965</v>
      </c>
      <c r="E4" s="1776"/>
      <c r="F4" s="1777">
        <f>'[15]Balance sheet groupings'!C509</f>
        <v>2096.34</v>
      </c>
      <c r="G4" s="2064" t="s">
        <v>2966</v>
      </c>
      <c r="H4" s="1775" t="s">
        <v>2967</v>
      </c>
      <c r="I4" s="2066" t="s">
        <v>2968</v>
      </c>
    </row>
    <row r="5" spans="1:9" ht="56.25" x14ac:dyDescent="0.25">
      <c r="A5" s="1774">
        <v>2</v>
      </c>
      <c r="B5" s="1774" t="s">
        <v>2969</v>
      </c>
      <c r="C5" s="1775" t="s">
        <v>2970</v>
      </c>
      <c r="D5" s="2064"/>
      <c r="E5" s="1776"/>
      <c r="F5" s="1777">
        <f>'[15]Balance sheet groupings'!C510</f>
        <v>735</v>
      </c>
      <c r="G5" s="2064"/>
      <c r="H5" s="1775" t="s">
        <v>2971</v>
      </c>
      <c r="I5" s="2067"/>
    </row>
    <row r="6" spans="1:9" ht="56.25" x14ac:dyDescent="0.25">
      <c r="A6" s="1774">
        <v>3</v>
      </c>
      <c r="B6" s="1774" t="s">
        <v>2972</v>
      </c>
      <c r="C6" s="1775" t="s">
        <v>2973</v>
      </c>
      <c r="D6" s="2064"/>
      <c r="E6" s="1776"/>
      <c r="F6" s="1777">
        <f>'[15]Balance sheet groupings'!C511</f>
        <v>2957.09</v>
      </c>
      <c r="G6" s="2064"/>
      <c r="H6" s="1778" t="s">
        <v>2974</v>
      </c>
      <c r="I6" s="2067"/>
    </row>
    <row r="7" spans="1:9" ht="56.25" x14ac:dyDescent="0.25">
      <c r="A7" s="1774">
        <v>4</v>
      </c>
      <c r="B7" s="1774" t="s">
        <v>2975</v>
      </c>
      <c r="C7" s="1775" t="s">
        <v>2976</v>
      </c>
      <c r="D7" s="2064"/>
      <c r="E7" s="1776"/>
      <c r="F7" s="1777">
        <f>'[15]Balance sheet groupings'!C512</f>
        <v>699.99914660000002</v>
      </c>
      <c r="G7" s="2064"/>
      <c r="H7" s="1775" t="s">
        <v>2977</v>
      </c>
      <c r="I7" s="2067"/>
    </row>
    <row r="8" spans="1:9" ht="56.25" x14ac:dyDescent="0.25">
      <c r="A8" s="1774">
        <v>5</v>
      </c>
      <c r="B8" s="1774" t="s">
        <v>2978</v>
      </c>
      <c r="C8" s="1775" t="s">
        <v>2979</v>
      </c>
      <c r="D8" s="2064"/>
      <c r="E8" s="1776"/>
      <c r="F8" s="1777">
        <f>'[15]Balance sheet groupings'!C513</f>
        <v>340.47692602699999</v>
      </c>
      <c r="G8" s="2064"/>
      <c r="H8" s="1775" t="s">
        <v>2980</v>
      </c>
      <c r="I8" s="2067"/>
    </row>
    <row r="9" spans="1:9" ht="56.25" x14ac:dyDescent="0.25">
      <c r="A9" s="1774">
        <v>6</v>
      </c>
      <c r="B9" s="1774" t="s">
        <v>2467</v>
      </c>
      <c r="C9" s="1775" t="s">
        <v>2981</v>
      </c>
      <c r="D9" s="2064"/>
      <c r="E9" s="1776"/>
      <c r="F9" s="1777">
        <f>'[15]Balance sheet groupings'!C514</f>
        <v>1040.9749773000001</v>
      </c>
      <c r="G9" s="2064"/>
      <c r="H9" s="1775" t="s">
        <v>2982</v>
      </c>
      <c r="I9" s="2067"/>
    </row>
    <row r="10" spans="1:9" ht="37.5" x14ac:dyDescent="0.25">
      <c r="A10" s="1774">
        <v>7</v>
      </c>
      <c r="B10" s="1774" t="s">
        <v>2983</v>
      </c>
      <c r="C10" s="1775" t="s">
        <v>2984</v>
      </c>
      <c r="D10" s="2064"/>
      <c r="E10" s="1776"/>
      <c r="F10" s="1777">
        <f>'[15]Balance sheet groupings'!C525+'[15]Balance sheet groupings'!C526</f>
        <v>13.113797651</v>
      </c>
      <c r="G10" s="1774"/>
      <c r="H10" s="1775" t="s">
        <v>2985</v>
      </c>
      <c r="I10" s="2067"/>
    </row>
    <row r="11" spans="1:9" ht="37.5" x14ac:dyDescent="0.25">
      <c r="A11" s="1774">
        <v>8</v>
      </c>
      <c r="B11" s="1774" t="s">
        <v>2986</v>
      </c>
      <c r="C11" s="1775" t="s">
        <v>2987</v>
      </c>
      <c r="D11" s="2064"/>
      <c r="E11" s="1776"/>
      <c r="F11" s="1777">
        <f>'[15]Balance sheet groupings'!C523+'[15]Balance sheet groupings'!C524</f>
        <v>1.060801968</v>
      </c>
      <c r="G11" s="1774"/>
      <c r="H11" s="1775" t="s">
        <v>2985</v>
      </c>
      <c r="I11" s="2067"/>
    </row>
    <row r="12" spans="1:9" ht="37.5" x14ac:dyDescent="0.25">
      <c r="A12" s="1774">
        <v>9</v>
      </c>
      <c r="B12" s="1774" t="s">
        <v>2988</v>
      </c>
      <c r="C12" s="1775" t="s">
        <v>2989</v>
      </c>
      <c r="D12" s="2064"/>
      <c r="E12" s="1776"/>
      <c r="F12" s="1777">
        <f>'[15]Balance sheet groupings'!C527+'[15]Balance sheet groupings'!C528</f>
        <v>-1.2201471E-2</v>
      </c>
      <c r="G12" s="1774"/>
      <c r="H12" s="1775" t="s">
        <v>2985</v>
      </c>
      <c r="I12" s="2067"/>
    </row>
    <row r="13" spans="1:9" ht="37.5" x14ac:dyDescent="0.25">
      <c r="A13" s="1774">
        <v>10</v>
      </c>
      <c r="B13" s="1774" t="s">
        <v>2990</v>
      </c>
      <c r="C13" s="1775" t="s">
        <v>2991</v>
      </c>
      <c r="D13" s="2064"/>
      <c r="E13" s="1776"/>
      <c r="F13" s="1777">
        <f>'[15]Balance sheet groupings'!C529+'[15]Balance sheet groupings'!C530</f>
        <v>-0.48711518200000004</v>
      </c>
      <c r="G13" s="1774"/>
      <c r="H13" s="1775" t="s">
        <v>2985</v>
      </c>
      <c r="I13" s="2067"/>
    </row>
    <row r="14" spans="1:9" ht="37.5" x14ac:dyDescent="0.25">
      <c r="A14" s="1774">
        <v>11</v>
      </c>
      <c r="B14" s="1774" t="s">
        <v>2992</v>
      </c>
      <c r="C14" s="1775" t="s">
        <v>2993</v>
      </c>
      <c r="D14" s="2064"/>
      <c r="E14" s="1776"/>
      <c r="F14" s="1777">
        <f>'[15]Balance sheet groupings'!C517+'[15]Balance sheet groupings'!C518</f>
        <v>-0.1379286529999999</v>
      </c>
      <c r="G14" s="1774"/>
      <c r="H14" s="1775" t="s">
        <v>2994</v>
      </c>
      <c r="I14" s="2067"/>
    </row>
    <row r="15" spans="1:9" ht="37.5" x14ac:dyDescent="0.25">
      <c r="A15" s="1774">
        <v>12</v>
      </c>
      <c r="B15" s="1774" t="s">
        <v>2995</v>
      </c>
      <c r="C15" s="1775" t="s">
        <v>2996</v>
      </c>
      <c r="D15" s="2064"/>
      <c r="E15" s="1776"/>
      <c r="F15" s="1777">
        <f>'[15]Balance sheet groupings'!C519+'[15]Balance sheet groupings'!C520</f>
        <v>-9.4585209999999992E-3</v>
      </c>
      <c r="G15" s="1774"/>
      <c r="H15" s="1775" t="s">
        <v>2997</v>
      </c>
      <c r="I15" s="2067"/>
    </row>
    <row r="16" spans="1:9" ht="37.5" x14ac:dyDescent="0.25">
      <c r="A16" s="1774">
        <v>13</v>
      </c>
      <c r="B16" s="1779" t="s">
        <v>2998</v>
      </c>
      <c r="C16" s="1780" t="s">
        <v>2999</v>
      </c>
      <c r="D16" s="2065"/>
      <c r="E16" s="1781"/>
      <c r="F16" s="1782">
        <f>'[15]Balance sheet groupings'!C521+'[15]Balance sheet groupings'!C522</f>
        <v>22.658465373000002</v>
      </c>
      <c r="G16" s="1779"/>
      <c r="H16" s="1780" t="s">
        <v>3000</v>
      </c>
      <c r="I16" s="2067"/>
    </row>
    <row r="17" spans="1:9" customFormat="1" ht="112.5" x14ac:dyDescent="0.2">
      <c r="A17" s="1774">
        <v>14</v>
      </c>
      <c r="B17" s="1783" t="s">
        <v>3001</v>
      </c>
      <c r="C17" s="1784">
        <v>50017</v>
      </c>
      <c r="D17" s="1783" t="s">
        <v>1109</v>
      </c>
      <c r="E17" s="1785">
        <v>500</v>
      </c>
      <c r="F17" s="1785">
        <v>500</v>
      </c>
      <c r="G17" s="1783" t="s">
        <v>3002</v>
      </c>
      <c r="H17" s="1786">
        <v>8.3400000000000002E-2</v>
      </c>
      <c r="I17" s="1783" t="s">
        <v>3003</v>
      </c>
    </row>
    <row r="18" spans="1:9" customFormat="1" ht="112.5" x14ac:dyDescent="0.2">
      <c r="A18" s="1774">
        <v>15</v>
      </c>
      <c r="B18" s="1783" t="s">
        <v>3001</v>
      </c>
      <c r="C18" s="1784">
        <v>50017</v>
      </c>
      <c r="D18" s="1783" t="s">
        <v>1109</v>
      </c>
      <c r="E18" s="1785">
        <v>500</v>
      </c>
      <c r="F18" s="1785">
        <f>'[15]Input Sheet'!Q743-'[15]Rep Terms ST'!F17-'[15]Rep Terms ST'!F19</f>
        <v>600.00000010000008</v>
      </c>
      <c r="G18" s="1783" t="s">
        <v>3004</v>
      </c>
      <c r="H18" s="1786">
        <v>8.14E-2</v>
      </c>
      <c r="I18" s="1783" t="s">
        <v>3003</v>
      </c>
    </row>
    <row r="19" spans="1:9" customFormat="1" ht="112.5" x14ac:dyDescent="0.2">
      <c r="A19" s="1774">
        <v>16</v>
      </c>
      <c r="B19" s="1783" t="s">
        <v>3001</v>
      </c>
      <c r="C19" s="1784">
        <v>50017</v>
      </c>
      <c r="D19" s="1783" t="s">
        <v>1109</v>
      </c>
      <c r="E19" s="1785">
        <v>650</v>
      </c>
      <c r="F19" s="1785">
        <v>650</v>
      </c>
      <c r="G19" s="1783" t="s">
        <v>3005</v>
      </c>
      <c r="H19" s="1786">
        <v>8.6400000000000005E-2</v>
      </c>
      <c r="I19" s="1783" t="s">
        <v>3003</v>
      </c>
    </row>
    <row r="20" spans="1:9" ht="75" x14ac:dyDescent="0.25">
      <c r="A20" s="1774">
        <v>17</v>
      </c>
      <c r="B20" s="1774" t="s">
        <v>2969</v>
      </c>
      <c r="C20" s="1775">
        <v>50002</v>
      </c>
      <c r="D20" s="1774" t="s">
        <v>1109</v>
      </c>
      <c r="E20" s="1776">
        <v>825</v>
      </c>
      <c r="F20" s="1787">
        <f>'[15]Balance sheet groupings'!C539</f>
        <v>412.49298629999998</v>
      </c>
      <c r="G20" s="1774" t="s">
        <v>3006</v>
      </c>
      <c r="H20" s="1788">
        <v>0.08</v>
      </c>
      <c r="I20" s="1789" t="s">
        <v>3007</v>
      </c>
    </row>
    <row r="21" spans="1:9" customFormat="1" ht="206.25" x14ac:dyDescent="0.2">
      <c r="A21" s="1774">
        <v>18</v>
      </c>
      <c r="B21" s="1783" t="s">
        <v>3008</v>
      </c>
      <c r="C21" s="1784">
        <v>50008</v>
      </c>
      <c r="D21" s="1783" t="s">
        <v>1109</v>
      </c>
      <c r="E21" s="1785">
        <v>876</v>
      </c>
      <c r="F21" s="1785">
        <f>'[15]Balance sheet groupings'!C544</f>
        <v>3007.3649362000001</v>
      </c>
      <c r="G21" s="1790" t="s">
        <v>3009</v>
      </c>
      <c r="H21" s="1786">
        <v>7.8E-2</v>
      </c>
      <c r="I21" s="1783" t="s">
        <v>3010</v>
      </c>
    </row>
    <row r="22" spans="1:9" customFormat="1" ht="112.5" x14ac:dyDescent="0.2">
      <c r="A22" s="1774">
        <v>19</v>
      </c>
      <c r="B22" s="1783" t="s">
        <v>3011</v>
      </c>
      <c r="C22" s="1784">
        <v>50015</v>
      </c>
      <c r="D22" s="1783" t="s">
        <v>1109</v>
      </c>
      <c r="E22" s="1785">
        <v>150</v>
      </c>
      <c r="F22" s="1785">
        <f>'[15]Balance sheet groupings'!C561</f>
        <v>37.499997899999997</v>
      </c>
      <c r="G22" s="1783" t="s">
        <v>3012</v>
      </c>
      <c r="H22" s="1786">
        <v>7.5499999999999998E-2</v>
      </c>
      <c r="I22" s="1783" t="s">
        <v>1725</v>
      </c>
    </row>
    <row r="23" spans="1:9" ht="18.75" x14ac:dyDescent="0.3">
      <c r="A23" s="1774"/>
      <c r="B23" s="1772" t="s">
        <v>7</v>
      </c>
      <c r="C23" s="1772"/>
      <c r="D23" s="1791"/>
      <c r="E23" s="1792">
        <f>SUM(E4:E22)</f>
        <v>3501</v>
      </c>
      <c r="F23" s="1793">
        <f>SUM(F4:F22)</f>
        <v>13113.425331592001</v>
      </c>
      <c r="G23" s="1794"/>
      <c r="H23" s="1794"/>
      <c r="I23" s="1794"/>
    </row>
    <row r="24" spans="1:9" x14ac:dyDescent="0.25">
      <c r="A24" s="1795"/>
      <c r="B24" s="1795"/>
      <c r="C24" s="1795"/>
      <c r="D24" s="1795"/>
      <c r="E24" s="1795"/>
      <c r="F24" s="1796"/>
      <c r="G24" s="1795"/>
      <c r="H24" s="1795"/>
      <c r="I24" s="1795"/>
    </row>
    <row r="25" spans="1:9" x14ac:dyDescent="0.25">
      <c r="A25" s="1795"/>
      <c r="B25" s="1795"/>
      <c r="C25" s="1795"/>
      <c r="D25" s="1795"/>
      <c r="E25" s="1797"/>
      <c r="F25" s="1797"/>
      <c r="G25" s="1795"/>
      <c r="H25" s="1795"/>
      <c r="I25" s="1795"/>
    </row>
    <row r="26" spans="1:9" ht="30" x14ac:dyDescent="0.25">
      <c r="A26" s="1795"/>
      <c r="B26" s="1795"/>
      <c r="C26" s="1795"/>
      <c r="D26" s="1798" t="s">
        <v>3013</v>
      </c>
      <c r="E26" s="1797"/>
      <c r="F26" s="1799">
        <f>'[15]balance sheet P&amp;L'!D311-'[15]balance sheet P&amp;L'!D305</f>
        <v>13113.425331592</v>
      </c>
      <c r="G26" s="1795"/>
      <c r="H26" s="1795"/>
      <c r="I26" s="1795"/>
    </row>
    <row r="27" spans="1:9" x14ac:dyDescent="0.25">
      <c r="A27" s="1795"/>
      <c r="B27" s="1795"/>
      <c r="C27" s="1795"/>
      <c r="D27" s="1795" t="s">
        <v>3014</v>
      </c>
      <c r="E27" s="1797"/>
      <c r="F27" s="1800">
        <f>F23-F26</f>
        <v>0</v>
      </c>
      <c r="G27" s="1801">
        <f>+F27*10^7</f>
        <v>0</v>
      </c>
      <c r="H27" s="1795"/>
      <c r="I27" s="1795"/>
    </row>
    <row r="30" spans="1:9" x14ac:dyDescent="0.25">
      <c r="F30" s="1802"/>
      <c r="H30" s="1769">
        <f>+G30/10^5</f>
        <v>0</v>
      </c>
    </row>
    <row r="35" spans="6:6" x14ac:dyDescent="0.25">
      <c r="F35" s="618"/>
    </row>
    <row r="37" spans="6:6" x14ac:dyDescent="0.25">
      <c r="F37" s="1803"/>
    </row>
  </sheetData>
  <mergeCells count="4">
    <mergeCell ref="A1:I1"/>
    <mergeCell ref="D4:D16"/>
    <mergeCell ref="G4:G9"/>
    <mergeCell ref="I4:I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E17"/>
  <sheetViews>
    <sheetView showGridLines="0" view="pageBreakPreview" zoomScale="80" zoomScaleSheetLayoutView="80" workbookViewId="0">
      <selection activeCell="E14" sqref="E14"/>
    </sheetView>
  </sheetViews>
  <sheetFormatPr defaultColWidth="9.140625" defaultRowHeight="15" x14ac:dyDescent="0.2"/>
  <cols>
    <col min="1" max="1" width="5.140625" style="27" customWidth="1"/>
    <col min="2" max="2" width="43.7109375" style="27" customWidth="1"/>
    <col min="3" max="3" width="17.42578125" style="27" customWidth="1"/>
    <col min="4" max="4" width="24.5703125" style="27" customWidth="1"/>
    <col min="5" max="5" width="23.7109375" style="27" customWidth="1"/>
    <col min="6" max="6" width="15.140625" style="27" bestFit="1" customWidth="1"/>
    <col min="7" max="16384" width="9.140625" style="27"/>
  </cols>
  <sheetData>
    <row r="1" spans="1:5" x14ac:dyDescent="0.2">
      <c r="A1" s="1875" t="s">
        <v>377</v>
      </c>
      <c r="B1" s="1875"/>
      <c r="C1" s="1875"/>
      <c r="D1" s="1875"/>
      <c r="E1" s="1875"/>
    </row>
    <row r="2" spans="1:5" x14ac:dyDescent="0.2">
      <c r="C2" s="1" t="s">
        <v>294</v>
      </c>
    </row>
    <row r="5" spans="1:5" x14ac:dyDescent="0.2">
      <c r="A5" s="26" t="s">
        <v>124</v>
      </c>
      <c r="B5" s="26"/>
      <c r="C5" s="26"/>
      <c r="D5" s="26"/>
    </row>
    <row r="6" spans="1:5" x14ac:dyDescent="0.2">
      <c r="A6" s="26"/>
      <c r="B6" s="26"/>
      <c r="C6" s="26"/>
      <c r="D6" s="26"/>
    </row>
    <row r="7" spans="1:5" ht="42.75" x14ac:dyDescent="0.2">
      <c r="A7" s="1874" t="s">
        <v>3</v>
      </c>
      <c r="B7" s="1885" t="s">
        <v>6</v>
      </c>
      <c r="C7" s="1874" t="s">
        <v>26</v>
      </c>
      <c r="D7" s="184" t="s">
        <v>149</v>
      </c>
      <c r="E7" s="184" t="s">
        <v>150</v>
      </c>
    </row>
    <row r="8" spans="1:5" x14ac:dyDescent="0.2">
      <c r="A8" s="1874"/>
      <c r="B8" s="1885"/>
      <c r="C8" s="1874"/>
      <c r="D8" s="184" t="s">
        <v>1</v>
      </c>
      <c r="E8" s="184" t="s">
        <v>1</v>
      </c>
    </row>
    <row r="9" spans="1:5" x14ac:dyDescent="0.2">
      <c r="A9" s="8" t="s">
        <v>20</v>
      </c>
      <c r="B9" s="9" t="s">
        <v>24</v>
      </c>
      <c r="C9" s="10"/>
      <c r="D9" s="188">
        <f>+'Share Capital'!D7</f>
        <v>40000</v>
      </c>
      <c r="E9" s="188">
        <v>40000</v>
      </c>
    </row>
    <row r="10" spans="1:5" x14ac:dyDescent="0.25">
      <c r="A10" s="9"/>
      <c r="B10" s="56"/>
      <c r="C10" s="9"/>
      <c r="D10" s="187"/>
      <c r="E10" s="187"/>
    </row>
    <row r="11" spans="1:5" x14ac:dyDescent="0.2">
      <c r="A11" s="9"/>
      <c r="B11" s="192" t="s">
        <v>7</v>
      </c>
      <c r="C11" s="9"/>
      <c r="D11" s="186">
        <f>+D9</f>
        <v>40000</v>
      </c>
      <c r="E11" s="186">
        <f>+E9</f>
        <v>40000</v>
      </c>
    </row>
    <row r="12" spans="1:5" x14ac:dyDescent="0.25">
      <c r="A12" s="9"/>
      <c r="B12" s="9"/>
      <c r="C12" s="9"/>
      <c r="D12" s="24"/>
      <c r="E12" s="58"/>
    </row>
    <row r="13" spans="1:5" x14ac:dyDescent="0.25">
      <c r="A13" s="8" t="s">
        <v>21</v>
      </c>
      <c r="B13" s="9" t="s">
        <v>25</v>
      </c>
      <c r="C13" s="59"/>
      <c r="D13" s="188">
        <f>+'Share Capital'!D13</f>
        <v>26115.397229399994</v>
      </c>
      <c r="E13" s="1869">
        <v>25918.5</v>
      </c>
    </row>
    <row r="14" spans="1:5" x14ac:dyDescent="0.25">
      <c r="A14" s="17"/>
      <c r="B14" s="56"/>
      <c r="C14" s="59"/>
      <c r="D14" s="187"/>
      <c r="E14" s="187"/>
    </row>
    <row r="15" spans="1:5" x14ac:dyDescent="0.2">
      <c r="A15" s="10"/>
      <c r="B15" s="192" t="s">
        <v>7</v>
      </c>
      <c r="C15" s="60"/>
      <c r="D15" s="186">
        <f>+D13</f>
        <v>26115.397229399994</v>
      </c>
      <c r="E15" s="186">
        <f>+E13</f>
        <v>25918.5</v>
      </c>
    </row>
    <row r="17" spans="1:2" x14ac:dyDescent="0.2">
      <c r="A17" s="26" t="s">
        <v>382</v>
      </c>
      <c r="B17" s="3" t="s">
        <v>321</v>
      </c>
    </row>
  </sheetData>
  <mergeCells count="4">
    <mergeCell ref="A7:A8"/>
    <mergeCell ref="B7:B8"/>
    <mergeCell ref="C7:C8"/>
    <mergeCell ref="A1:E1"/>
  </mergeCells>
  <phoneticPr fontId="0" type="noConversion"/>
  <printOptions horizontalCentered="1"/>
  <pageMargins left="0.78740157480314965" right="0.39370078740157483" top="0.78740157480314965" bottom="0.19685039370078741"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41"/>
  <sheetViews>
    <sheetView showGridLines="0" view="pageBreakPreview" zoomScale="80" zoomScaleSheetLayoutView="80" workbookViewId="0">
      <selection activeCell="D36" sqref="D36"/>
    </sheetView>
  </sheetViews>
  <sheetFormatPr defaultColWidth="9.140625" defaultRowHeight="15" x14ac:dyDescent="0.2"/>
  <cols>
    <col min="1" max="1" width="7.42578125" style="26" customWidth="1"/>
    <col min="2" max="2" width="57.28515625" style="27" bestFit="1" customWidth="1"/>
    <col min="3" max="3" width="10.42578125" style="26" bestFit="1" customWidth="1"/>
    <col min="4" max="4" width="23.140625" style="27" customWidth="1"/>
    <col min="5" max="5" width="28" style="27" customWidth="1"/>
    <col min="6" max="6" width="16" style="27" bestFit="1" customWidth="1"/>
    <col min="7" max="7" width="11.140625" style="27" bestFit="1" customWidth="1"/>
    <col min="8" max="9" width="9.140625" style="27"/>
    <col min="10" max="10" width="27.140625" style="27" bestFit="1" customWidth="1"/>
    <col min="11" max="16384" width="9.140625" style="27"/>
  </cols>
  <sheetData>
    <row r="1" spans="1:10" x14ac:dyDescent="0.2">
      <c r="A1" s="5"/>
      <c r="B1" s="5"/>
      <c r="C1" s="5"/>
      <c r="D1" s="5"/>
      <c r="E1" s="5"/>
    </row>
    <row r="2" spans="1:10" x14ac:dyDescent="0.2">
      <c r="A2" s="1875" t="s">
        <v>377</v>
      </c>
      <c r="B2" s="1875"/>
      <c r="C2" s="1875"/>
      <c r="D2" s="1875"/>
      <c r="E2" s="1875"/>
    </row>
    <row r="3" spans="1:10" x14ac:dyDescent="0.2">
      <c r="A3" s="5"/>
      <c r="B3" s="1875" t="s">
        <v>294</v>
      </c>
      <c r="C3" s="1875"/>
      <c r="D3" s="1875"/>
      <c r="E3" s="5"/>
    </row>
    <row r="4" spans="1:10" x14ac:dyDescent="0.2">
      <c r="A4" s="5"/>
      <c r="B4" s="5"/>
      <c r="C4" s="5"/>
      <c r="D4" s="5"/>
      <c r="E4" s="5"/>
    </row>
    <row r="5" spans="1:10" x14ac:dyDescent="0.2">
      <c r="A5" s="1872" t="s">
        <v>125</v>
      </c>
      <c r="B5" s="1872"/>
      <c r="C5" s="1872"/>
      <c r="D5" s="1872"/>
      <c r="E5" s="1872"/>
    </row>
    <row r="6" spans="1:10" x14ac:dyDescent="0.2">
      <c r="A6" s="220"/>
      <c r="B6" s="220"/>
      <c r="C6" s="220"/>
      <c r="D6" s="220"/>
      <c r="E6" s="220"/>
    </row>
    <row r="7" spans="1:10" ht="42.75" x14ac:dyDescent="0.2">
      <c r="A7" s="1874" t="s">
        <v>3</v>
      </c>
      <c r="B7" s="1874" t="s">
        <v>6</v>
      </c>
      <c r="C7" s="1874" t="s">
        <v>26</v>
      </c>
      <c r="D7" s="6" t="s">
        <v>149</v>
      </c>
      <c r="E7" s="65" t="s">
        <v>150</v>
      </c>
    </row>
    <row r="8" spans="1:10" x14ac:dyDescent="0.2">
      <c r="A8" s="1874"/>
      <c r="B8" s="1874"/>
      <c r="C8" s="1874"/>
      <c r="D8" s="53" t="s">
        <v>1</v>
      </c>
      <c r="E8" s="53" t="s">
        <v>1</v>
      </c>
    </row>
    <row r="9" spans="1:10" s="26" customFormat="1" ht="14.25" x14ac:dyDescent="0.2">
      <c r="A9" s="8">
        <v>1</v>
      </c>
      <c r="B9" s="48" t="s">
        <v>61</v>
      </c>
      <c r="C9" s="66"/>
      <c r="D9" s="67"/>
      <c r="E9" s="67"/>
    </row>
    <row r="10" spans="1:10" x14ac:dyDescent="0.25">
      <c r="A10" s="11"/>
      <c r="B10" s="56" t="s">
        <v>13</v>
      </c>
      <c r="C10" s="59"/>
      <c r="D10" s="68"/>
      <c r="E10" s="68"/>
    </row>
    <row r="11" spans="1:10" x14ac:dyDescent="0.25">
      <c r="A11" s="11"/>
      <c r="B11" s="56" t="s">
        <v>75</v>
      </c>
      <c r="C11" s="59"/>
      <c r="D11" s="68"/>
      <c r="E11" s="68"/>
    </row>
    <row r="12" spans="1:10" x14ac:dyDescent="0.25">
      <c r="A12" s="11"/>
      <c r="B12" s="56" t="s">
        <v>76</v>
      </c>
      <c r="C12" s="59"/>
      <c r="D12" s="68"/>
      <c r="E12" s="68"/>
    </row>
    <row r="13" spans="1:10" x14ac:dyDescent="0.25">
      <c r="A13" s="11"/>
      <c r="B13" s="56" t="s">
        <v>14</v>
      </c>
      <c r="C13" s="59"/>
      <c r="D13" s="67"/>
      <c r="E13" s="67"/>
      <c r="F13" s="62"/>
    </row>
    <row r="14" spans="1:10" s="26" customFormat="1" x14ac:dyDescent="0.25">
      <c r="A14" s="8">
        <v>2</v>
      </c>
      <c r="B14" s="48" t="s">
        <v>62</v>
      </c>
      <c r="C14" s="69"/>
      <c r="D14" s="68"/>
      <c r="E14" s="68"/>
      <c r="J14" s="63"/>
    </row>
    <row r="15" spans="1:10" x14ac:dyDescent="0.25">
      <c r="A15" s="11"/>
      <c r="B15" s="56" t="s">
        <v>13</v>
      </c>
      <c r="C15" s="69"/>
      <c r="D15" s="68"/>
      <c r="E15" s="68"/>
    </row>
    <row r="16" spans="1:10" x14ac:dyDescent="0.25">
      <c r="A16" s="11"/>
      <c r="B16" s="56" t="str">
        <f>B11</f>
        <v>Add : Addition during the year</v>
      </c>
      <c r="C16" s="59"/>
      <c r="D16" s="68"/>
      <c r="E16" s="68"/>
    </row>
    <row r="17" spans="1:7" x14ac:dyDescent="0.25">
      <c r="A17" s="11"/>
      <c r="B17" s="56" t="str">
        <f>B12</f>
        <v>Less : Utilized/transferred during the year</v>
      </c>
      <c r="C17" s="59"/>
      <c r="D17" s="68"/>
      <c r="E17" s="68"/>
    </row>
    <row r="18" spans="1:7" x14ac:dyDescent="0.2">
      <c r="A18" s="11"/>
      <c r="B18" s="56" t="s">
        <v>14</v>
      </c>
      <c r="C18" s="59"/>
      <c r="D18" s="67"/>
      <c r="E18" s="67"/>
    </row>
    <row r="19" spans="1:7" s="26" customFormat="1" x14ac:dyDescent="0.25">
      <c r="A19" s="8">
        <v>3</v>
      </c>
      <c r="B19" s="48" t="s">
        <v>63</v>
      </c>
      <c r="C19" s="69"/>
      <c r="D19" s="68"/>
      <c r="E19" s="68"/>
    </row>
    <row r="20" spans="1:7" x14ac:dyDescent="0.25">
      <c r="A20" s="9"/>
      <c r="B20" s="10" t="s">
        <v>34</v>
      </c>
      <c r="C20" s="70"/>
      <c r="D20" s="68"/>
      <c r="E20" s="68"/>
    </row>
    <row r="21" spans="1:7" x14ac:dyDescent="0.25">
      <c r="A21" s="11"/>
      <c r="B21" s="56" t="s">
        <v>13</v>
      </c>
      <c r="C21" s="59"/>
      <c r="D21" s="68"/>
      <c r="E21" s="68"/>
    </row>
    <row r="22" spans="1:7" x14ac:dyDescent="0.25">
      <c r="A22" s="11"/>
      <c r="B22" s="56" t="str">
        <f>B11</f>
        <v>Add : Addition during the year</v>
      </c>
      <c r="C22" s="59"/>
      <c r="D22" s="68"/>
      <c r="E22" s="68"/>
    </row>
    <row r="23" spans="1:7" x14ac:dyDescent="0.25">
      <c r="A23" s="11"/>
      <c r="B23" s="56" t="str">
        <f>B12</f>
        <v>Less : Utilized/transferred during the year</v>
      </c>
      <c r="C23" s="59"/>
      <c r="D23" s="68"/>
      <c r="E23" s="68"/>
    </row>
    <row r="24" spans="1:7" x14ac:dyDescent="0.2">
      <c r="A24" s="11"/>
      <c r="B24" s="56" t="s">
        <v>14</v>
      </c>
      <c r="C24" s="59"/>
      <c r="D24" s="67"/>
      <c r="E24" s="67"/>
    </row>
    <row r="25" spans="1:7" s="26" customFormat="1" x14ac:dyDescent="0.25">
      <c r="A25" s="8">
        <v>4</v>
      </c>
      <c r="B25" s="9" t="s">
        <v>60</v>
      </c>
      <c r="C25" s="70"/>
      <c r="D25" s="68"/>
      <c r="E25" s="68"/>
      <c r="F25" s="27"/>
    </row>
    <row r="26" spans="1:7" x14ac:dyDescent="0.25">
      <c r="A26" s="11"/>
      <c r="B26" s="56" t="s">
        <v>64</v>
      </c>
      <c r="C26" s="59"/>
      <c r="D26" s="1870">
        <f>+'BalanceSheet and P&amp;L 23-24'!D254</f>
        <v>-10200.837541572</v>
      </c>
      <c r="E26" s="1870">
        <v>-8223.0677860540018</v>
      </c>
    </row>
    <row r="27" spans="1:7" x14ac:dyDescent="0.25">
      <c r="A27" s="11"/>
      <c r="B27" s="56" t="s">
        <v>80</v>
      </c>
      <c r="C27" s="59"/>
      <c r="D27" s="1870">
        <f>+'BalanceSheet and P&amp;L 23-24'!D255</f>
        <v>45.017248804008943</v>
      </c>
      <c r="E27" s="1870">
        <v>-810.82052673700082</v>
      </c>
    </row>
    <row r="28" spans="1:7" x14ac:dyDescent="0.25">
      <c r="A28" s="11"/>
      <c r="B28" s="56" t="str">
        <f>B23</f>
        <v>Less : Utilized/transferred during the year</v>
      </c>
      <c r="C28" s="59"/>
      <c r="D28" s="68"/>
      <c r="E28" s="68"/>
    </row>
    <row r="29" spans="1:7" x14ac:dyDescent="0.25">
      <c r="A29" s="17"/>
      <c r="B29" s="56" t="s">
        <v>77</v>
      </c>
      <c r="C29" s="59"/>
      <c r="D29" s="68"/>
      <c r="E29" s="68"/>
    </row>
    <row r="30" spans="1:7" x14ac:dyDescent="0.25">
      <c r="A30" s="17"/>
      <c r="B30" s="56" t="s">
        <v>78</v>
      </c>
      <c r="C30" s="59"/>
      <c r="D30" s="68"/>
      <c r="E30" s="68"/>
    </row>
    <row r="31" spans="1:7" x14ac:dyDescent="0.25">
      <c r="A31" s="17"/>
      <c r="B31" s="56" t="s">
        <v>79</v>
      </c>
      <c r="C31" s="59"/>
      <c r="D31" s="68"/>
      <c r="E31" s="68"/>
    </row>
    <row r="32" spans="1:7" x14ac:dyDescent="0.2">
      <c r="A32" s="11"/>
      <c r="B32" s="56" t="s">
        <v>14</v>
      </c>
      <c r="C32" s="59"/>
      <c r="D32" s="1832">
        <f>+D26+D27-D29-D30-D31</f>
        <v>-10155.82029276799</v>
      </c>
      <c r="E32" s="1832">
        <f>+E26+E27-E29-E30-E31</f>
        <v>-9033.888312791003</v>
      </c>
      <c r="G32" s="64"/>
    </row>
    <row r="33" spans="1:6" x14ac:dyDescent="0.2">
      <c r="A33" s="9"/>
      <c r="B33" s="24" t="s">
        <v>9</v>
      </c>
      <c r="C33" s="8"/>
      <c r="D33" s="1832">
        <f>+D13+D18+D24+D32</f>
        <v>-10155.82029276799</v>
      </c>
      <c r="E33" s="1832">
        <f>+E13+E18+E24+E32</f>
        <v>-9033.888312791003</v>
      </c>
      <c r="F33" s="1832"/>
    </row>
    <row r="34" spans="1:6" x14ac:dyDescent="0.2">
      <c r="B34" s="45"/>
      <c r="C34" s="232"/>
      <c r="D34" s="1810"/>
      <c r="E34" s="1810"/>
    </row>
    <row r="35" spans="1:6" x14ac:dyDescent="0.2">
      <c r="A35" s="9"/>
      <c r="B35" s="82" t="s">
        <v>97</v>
      </c>
      <c r="C35" s="8"/>
      <c r="D35" s="1871">
        <f>+'BalanceSheet and P&amp;L 23-24'!D260</f>
        <v>188.7891119040174</v>
      </c>
      <c r="E35" s="1871">
        <f>+'BalanceSheet and P&amp;L 23-24'!E260</f>
        <v>91.14101530401723</v>
      </c>
    </row>
    <row r="36" spans="1:6" x14ac:dyDescent="0.2">
      <c r="B36" s="45"/>
      <c r="C36" s="232"/>
      <c r="D36" s="1810"/>
      <c r="E36" s="1810"/>
    </row>
    <row r="37" spans="1:6" x14ac:dyDescent="0.2">
      <c r="B37" s="45"/>
      <c r="C37" s="232"/>
      <c r="D37" s="1810"/>
      <c r="E37" s="1810"/>
    </row>
    <row r="38" spans="1:6" x14ac:dyDescent="0.2">
      <c r="B38" s="45"/>
      <c r="C38" s="232"/>
      <c r="D38" s="1810"/>
      <c r="E38" s="1810"/>
    </row>
    <row r="39" spans="1:6" x14ac:dyDescent="0.2">
      <c r="B39" s="45"/>
      <c r="C39" s="232"/>
      <c r="D39" s="1810"/>
      <c r="E39" s="1810"/>
    </row>
    <row r="40" spans="1:6" x14ac:dyDescent="0.2">
      <c r="A40" s="27"/>
      <c r="C40" s="27"/>
    </row>
    <row r="41" spans="1:6" x14ac:dyDescent="0.2">
      <c r="A41" s="26" t="s">
        <v>379</v>
      </c>
      <c r="B41" s="3" t="s">
        <v>321</v>
      </c>
    </row>
  </sheetData>
  <mergeCells count="6">
    <mergeCell ref="A5:E5"/>
    <mergeCell ref="A7:A8"/>
    <mergeCell ref="B7:B8"/>
    <mergeCell ref="C7:C8"/>
    <mergeCell ref="A2:E2"/>
    <mergeCell ref="B3:D3"/>
  </mergeCells>
  <printOptions horizontalCentered="1"/>
  <pageMargins left="0.78740157480314965" right="0.39370078740157483" top="0.78740157480314965" bottom="0.19685039370078741"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92"/>
  <sheetViews>
    <sheetView showGridLines="0" view="pageBreakPreview" topLeftCell="C181" zoomScale="80" zoomScaleNormal="80" zoomScaleSheetLayoutView="80" workbookViewId="0">
      <selection activeCell="M200" sqref="M200"/>
    </sheetView>
  </sheetViews>
  <sheetFormatPr defaultColWidth="9.140625" defaultRowHeight="15" x14ac:dyDescent="0.2"/>
  <cols>
    <col min="1" max="1" width="6.28515625" style="77" customWidth="1"/>
    <col min="2" max="2" width="23.28515625" style="72" customWidth="1"/>
    <col min="3" max="3" width="13.85546875" style="77" customWidth="1"/>
    <col min="4" max="4" width="13.85546875" style="72" customWidth="1"/>
    <col min="5" max="5" width="45.85546875" style="77" bestFit="1" customWidth="1"/>
    <col min="6" max="10" width="15.5703125" style="72" customWidth="1"/>
    <col min="11" max="13" width="24.42578125" style="72" customWidth="1"/>
    <col min="14" max="17" width="16" style="72" customWidth="1"/>
    <col min="18" max="18" width="16" style="72" bestFit="1" customWidth="1"/>
    <col min="19" max="19" width="17.28515625" style="72" bestFit="1" customWidth="1"/>
    <col min="20" max="20" width="13.85546875" style="72" bestFit="1" customWidth="1"/>
    <col min="21" max="16384" width="9.140625" style="72"/>
  </cols>
  <sheetData>
    <row r="1" spans="1:18" x14ac:dyDescent="0.2">
      <c r="A1" s="1886"/>
      <c r="B1" s="1886"/>
      <c r="C1" s="1886"/>
      <c r="D1" s="1886"/>
      <c r="E1" s="1886"/>
      <c r="F1" s="1886"/>
      <c r="G1" s="1886"/>
      <c r="H1" s="1886"/>
      <c r="I1" s="1886"/>
      <c r="J1" s="1886"/>
      <c r="K1" s="1886"/>
      <c r="L1" s="1886"/>
      <c r="M1" s="1886"/>
    </row>
    <row r="2" spans="1:18" x14ac:dyDescent="0.2">
      <c r="A2" s="71"/>
      <c r="B2" s="1875" t="s">
        <v>377</v>
      </c>
      <c r="C2" s="1875"/>
      <c r="D2" s="1875"/>
      <c r="E2" s="1875"/>
      <c r="F2" s="1875"/>
      <c r="G2" s="1875"/>
      <c r="H2" s="1875"/>
      <c r="I2" s="1875"/>
      <c r="J2" s="1875"/>
      <c r="K2" s="1875"/>
      <c r="L2" s="1875"/>
      <c r="M2" s="1875"/>
    </row>
    <row r="3" spans="1:18" x14ac:dyDescent="0.2">
      <c r="A3" s="71"/>
      <c r="B3" s="71"/>
      <c r="C3" s="71"/>
      <c r="D3" s="71"/>
      <c r="E3" s="71"/>
      <c r="F3" s="71"/>
      <c r="G3" s="71"/>
      <c r="H3" s="1" t="s">
        <v>294</v>
      </c>
      <c r="I3" s="71"/>
      <c r="J3" s="71"/>
      <c r="K3" s="71"/>
      <c r="L3" s="71"/>
      <c r="M3" s="71"/>
    </row>
    <row r="4" spans="1:18" x14ac:dyDescent="0.2">
      <c r="A4" s="71"/>
      <c r="B4" s="71"/>
      <c r="C4" s="71"/>
      <c r="D4" s="71"/>
      <c r="E4" s="71"/>
      <c r="F4" s="71"/>
      <c r="G4" s="71"/>
      <c r="H4" s="71"/>
      <c r="I4" s="71"/>
      <c r="J4" s="71"/>
      <c r="K4" s="71"/>
      <c r="L4" s="71"/>
      <c r="M4" s="71"/>
    </row>
    <row r="5" spans="1:18" x14ac:dyDescent="0.2">
      <c r="A5" s="71"/>
      <c r="B5" s="71"/>
      <c r="C5" s="71"/>
      <c r="D5" s="71"/>
      <c r="E5" s="71"/>
      <c r="F5" s="71"/>
      <c r="G5" s="71"/>
      <c r="H5" s="71"/>
      <c r="I5" s="71"/>
      <c r="J5" s="71"/>
      <c r="K5" s="71"/>
      <c r="L5" s="71"/>
      <c r="M5" s="71"/>
    </row>
    <row r="6" spans="1:18" x14ac:dyDescent="0.2">
      <c r="A6" s="1887" t="s">
        <v>126</v>
      </c>
      <c r="B6" s="1887"/>
      <c r="C6" s="1887"/>
      <c r="D6" s="1887"/>
      <c r="E6" s="1887"/>
      <c r="F6" s="1887"/>
      <c r="G6" s="1887"/>
      <c r="H6" s="1887"/>
      <c r="I6" s="1887"/>
      <c r="J6" s="1887"/>
      <c r="K6" s="1887"/>
      <c r="L6" s="73"/>
      <c r="M6" s="73"/>
    </row>
    <row r="7" spans="1:18" x14ac:dyDescent="0.2">
      <c r="A7" s="1888" t="s">
        <v>127</v>
      </c>
      <c r="B7" s="1888"/>
      <c r="C7" s="1888"/>
      <c r="D7" s="1888"/>
      <c r="E7" s="1888"/>
      <c r="F7" s="1888"/>
      <c r="G7" s="1888"/>
      <c r="H7" s="1888"/>
      <c r="I7" s="1888"/>
      <c r="J7" s="1888"/>
      <c r="K7" s="1888"/>
      <c r="L7" s="74"/>
      <c r="M7" s="74"/>
    </row>
    <row r="8" spans="1:18" x14ac:dyDescent="0.2">
      <c r="A8" s="223"/>
      <c r="B8" s="223"/>
      <c r="C8" s="223"/>
      <c r="D8" s="223"/>
      <c r="E8" s="223"/>
      <c r="F8" s="223" t="s">
        <v>3015</v>
      </c>
      <c r="G8" s="223"/>
      <c r="H8" s="223"/>
      <c r="I8" s="223"/>
      <c r="J8" s="223"/>
      <c r="K8" s="223" t="s">
        <v>3016</v>
      </c>
      <c r="L8" s="223"/>
      <c r="M8" s="223"/>
    </row>
    <row r="9" spans="1:18" x14ac:dyDescent="0.2">
      <c r="A9" s="1874" t="s">
        <v>3</v>
      </c>
      <c r="B9" s="1885" t="s">
        <v>6</v>
      </c>
      <c r="C9" s="1874" t="s">
        <v>66</v>
      </c>
      <c r="D9" s="1874" t="s">
        <v>65</v>
      </c>
      <c r="E9" s="1874" t="s">
        <v>26</v>
      </c>
      <c r="F9" s="1874" t="str">
        <f>'4'!D7</f>
        <v>Figures as at the end of current reporting period</v>
      </c>
      <c r="G9" s="1874"/>
      <c r="H9" s="1874"/>
      <c r="I9" s="6" t="s">
        <v>58</v>
      </c>
      <c r="J9" s="208" t="s">
        <v>322</v>
      </c>
      <c r="K9" s="1885" t="str">
        <f>'3'!E7</f>
        <v>Figures as at the end of previous reporting period</v>
      </c>
      <c r="L9" s="1885"/>
      <c r="M9" s="1885"/>
    </row>
    <row r="10" spans="1:18" ht="85.5" x14ac:dyDescent="0.2">
      <c r="A10" s="1874"/>
      <c r="B10" s="1885"/>
      <c r="C10" s="1874"/>
      <c r="D10" s="1874"/>
      <c r="E10" s="1874"/>
      <c r="F10" s="6" t="s">
        <v>73</v>
      </c>
      <c r="G10" s="6" t="s">
        <v>71</v>
      </c>
      <c r="H10" s="6" t="s">
        <v>72</v>
      </c>
      <c r="I10" s="6"/>
      <c r="J10" s="6"/>
      <c r="K10" s="6" t="str">
        <f t="shared" ref="K10:M11" si="0">F10</f>
        <v>Total Long Term Borrowings</v>
      </c>
      <c r="L10" s="6" t="str">
        <f t="shared" si="0"/>
        <v>Current Maturities of Long term borrowings i.e. other Current Liabilites</v>
      </c>
      <c r="M10" s="6" t="str">
        <f t="shared" si="0"/>
        <v>Non Current Liabilities - Long Term Borrowings</v>
      </c>
    </row>
    <row r="11" spans="1:18" x14ac:dyDescent="0.2">
      <c r="A11" s="1874"/>
      <c r="B11" s="1885"/>
      <c r="C11" s="1874"/>
      <c r="D11" s="1874"/>
      <c r="E11" s="1874"/>
      <c r="F11" s="6" t="s">
        <v>28</v>
      </c>
      <c r="G11" s="6" t="s">
        <v>29</v>
      </c>
      <c r="H11" s="6" t="s">
        <v>74</v>
      </c>
      <c r="I11" s="6"/>
      <c r="J11" s="6"/>
      <c r="K11" s="53" t="str">
        <f t="shared" si="0"/>
        <v>(A)</v>
      </c>
      <c r="L11" s="6" t="str">
        <f t="shared" si="0"/>
        <v>(B)</v>
      </c>
      <c r="M11" s="6" t="str">
        <f t="shared" si="0"/>
        <v>(C)=(A)-(B)</v>
      </c>
    </row>
    <row r="12" spans="1:18" x14ac:dyDescent="0.2">
      <c r="A12" s="1874"/>
      <c r="B12" s="1885"/>
      <c r="C12" s="1874"/>
      <c r="D12" s="1874"/>
      <c r="E12" s="1874"/>
      <c r="F12" s="53" t="s">
        <v>1</v>
      </c>
      <c r="G12" s="53" t="str">
        <f>F12</f>
        <v>Rs.</v>
      </c>
      <c r="H12" s="53" t="str">
        <f>G12</f>
        <v>Rs.</v>
      </c>
      <c r="I12" s="53" t="s">
        <v>1</v>
      </c>
      <c r="J12" s="53" t="s">
        <v>1</v>
      </c>
      <c r="K12" s="53" t="str">
        <f>'4'!E8</f>
        <v>Rs.</v>
      </c>
      <c r="L12" s="53" t="str">
        <f>K12</f>
        <v>Rs.</v>
      </c>
      <c r="M12" s="53" t="str">
        <f>L12</f>
        <v>Rs.</v>
      </c>
    </row>
    <row r="13" spans="1:18" x14ac:dyDescent="0.2">
      <c r="A13" s="86">
        <v>1</v>
      </c>
      <c r="B13" s="1839" t="s">
        <v>3062</v>
      </c>
      <c r="C13" s="32"/>
      <c r="D13" s="79"/>
      <c r="E13" s="80"/>
      <c r="F13" s="81"/>
      <c r="G13" s="81"/>
      <c r="H13" s="81"/>
      <c r="I13" s="82"/>
      <c r="J13" s="82"/>
      <c r="K13" s="81"/>
      <c r="L13" s="81"/>
      <c r="M13" s="81"/>
      <c r="O13" s="1856">
        <v>21501001</v>
      </c>
      <c r="P13" s="72">
        <v>201.92370959999997</v>
      </c>
      <c r="Q13" s="72">
        <v>71.28</v>
      </c>
      <c r="R13" s="72">
        <v>130.64370959999997</v>
      </c>
    </row>
    <row r="14" spans="1:18" x14ac:dyDescent="0.2">
      <c r="A14" s="84"/>
      <c r="B14" s="85"/>
      <c r="C14" s="83"/>
      <c r="D14" s="83"/>
      <c r="E14" s="86">
        <v>21501001</v>
      </c>
      <c r="F14" s="1840">
        <v>130.65651679999999</v>
      </c>
      <c r="G14" s="1840">
        <v>71.266800000000003</v>
      </c>
      <c r="H14" s="1840">
        <v>59.389716799999988</v>
      </c>
      <c r="I14" s="82"/>
      <c r="J14" s="82"/>
      <c r="K14" s="1840">
        <v>201.92370959999997</v>
      </c>
      <c r="L14" s="1840">
        <v>71.28</v>
      </c>
      <c r="M14" s="1840">
        <v>130.64370959999997</v>
      </c>
      <c r="O14" s="1856">
        <v>21501002</v>
      </c>
      <c r="P14" s="72">
        <v>251.89673206666666</v>
      </c>
      <c r="Q14" s="72">
        <v>88.92</v>
      </c>
      <c r="R14" s="72">
        <v>162.97673206666667</v>
      </c>
    </row>
    <row r="15" spans="1:18" x14ac:dyDescent="0.2">
      <c r="A15" s="84"/>
      <c r="B15" s="85"/>
      <c r="C15" s="83"/>
      <c r="D15" s="83"/>
      <c r="E15" s="86">
        <v>21501002</v>
      </c>
      <c r="F15" s="1840">
        <v>162.99200020000001</v>
      </c>
      <c r="G15" s="1840">
        <v>88.904399999999995</v>
      </c>
      <c r="H15" s="1840">
        <v>74.087600200000011</v>
      </c>
      <c r="I15" s="82"/>
      <c r="J15" s="82"/>
      <c r="K15" s="1840">
        <v>251.89673206666666</v>
      </c>
      <c r="L15" s="1840">
        <v>88.92</v>
      </c>
      <c r="M15" s="1840">
        <v>162.97673206666667</v>
      </c>
      <c r="O15" s="1856">
        <v>21504016</v>
      </c>
      <c r="P15" s="72">
        <v>0</v>
      </c>
      <c r="Q15" s="72">
        <v>0</v>
      </c>
      <c r="R15" s="72">
        <v>0</v>
      </c>
    </row>
    <row r="16" spans="1:18" x14ac:dyDescent="0.2">
      <c r="A16" s="84"/>
      <c r="B16" s="85"/>
      <c r="C16" s="83"/>
      <c r="D16" s="83"/>
      <c r="E16" s="86">
        <v>21504017</v>
      </c>
      <c r="F16" s="1840">
        <v>2.3858334000000001</v>
      </c>
      <c r="G16" s="1840">
        <v>2.3860000000000001</v>
      </c>
      <c r="H16" s="1840">
        <v>-1.6660000000001673E-4</v>
      </c>
      <c r="I16" s="82"/>
      <c r="J16" s="82"/>
      <c r="K16" s="1840">
        <v>4.7716668000000002</v>
      </c>
      <c r="L16" s="1840">
        <v>2.3860000000000001</v>
      </c>
      <c r="M16" s="1840">
        <v>2.3856668000000001</v>
      </c>
      <c r="O16" s="1856">
        <v>21504017</v>
      </c>
      <c r="P16" s="72">
        <v>4.7716668000000002</v>
      </c>
      <c r="Q16" s="72">
        <v>2.3860000000000001</v>
      </c>
      <c r="R16" s="72">
        <v>2.3856668000000001</v>
      </c>
    </row>
    <row r="17" spans="1:19" x14ac:dyDescent="0.2">
      <c r="A17" s="86"/>
      <c r="B17" s="82"/>
      <c r="C17" s="83"/>
      <c r="D17" s="83"/>
      <c r="E17" s="86">
        <v>21504018</v>
      </c>
      <c r="F17" s="1840">
        <v>5386.5228864999999</v>
      </c>
      <c r="G17" s="1840">
        <v>666.37395960000003</v>
      </c>
      <c r="H17" s="1840">
        <v>4720.1489268999994</v>
      </c>
      <c r="I17" s="82"/>
      <c r="J17" s="82"/>
      <c r="K17" s="81">
        <v>6052.8968505333332</v>
      </c>
      <c r="L17" s="81">
        <v>666.4</v>
      </c>
      <c r="M17" s="81">
        <v>5386.4968505333336</v>
      </c>
      <c r="O17" s="1856">
        <v>21504018</v>
      </c>
      <c r="P17" s="72">
        <v>6052.8968505333332</v>
      </c>
      <c r="Q17" s="72">
        <v>666.4</v>
      </c>
      <c r="R17" s="76">
        <v>5386.4968505333336</v>
      </c>
      <c r="S17" s="76"/>
    </row>
    <row r="18" spans="1:19" x14ac:dyDescent="0.2">
      <c r="A18" s="84"/>
      <c r="B18" s="87"/>
      <c r="C18" s="83"/>
      <c r="D18" s="83"/>
      <c r="E18" s="86">
        <v>21504019</v>
      </c>
      <c r="F18" s="1840">
        <v>3.4972167999999999</v>
      </c>
      <c r="G18" s="1840">
        <v>0.46600000000000003</v>
      </c>
      <c r="H18" s="1840">
        <v>3.0312167999999997</v>
      </c>
      <c r="I18" s="88"/>
      <c r="J18" s="88"/>
      <c r="K18" s="1840">
        <v>3.9635123999999999</v>
      </c>
      <c r="L18" s="1840">
        <v>0.48</v>
      </c>
      <c r="M18" s="1840">
        <v>3.4835124</v>
      </c>
      <c r="O18" s="1856">
        <v>21504019</v>
      </c>
      <c r="P18" s="72">
        <v>3.9635123999999999</v>
      </c>
      <c r="Q18" s="72">
        <v>0.48</v>
      </c>
      <c r="R18" s="76">
        <v>3.4835124</v>
      </c>
      <c r="S18" s="76"/>
    </row>
    <row r="19" spans="1:19" x14ac:dyDescent="0.2">
      <c r="A19" s="78"/>
      <c r="B19" s="79"/>
      <c r="C19" s="32"/>
      <c r="D19" s="83"/>
      <c r="E19" s="86">
        <v>21504020</v>
      </c>
      <c r="F19" s="1842">
        <v>63.9000001</v>
      </c>
      <c r="G19" s="1840">
        <v>14.2</v>
      </c>
      <c r="H19" s="1840">
        <v>49.700000099999997</v>
      </c>
      <c r="I19" s="82"/>
      <c r="J19" s="82"/>
      <c r="K19" s="1840">
        <v>78.100000199999997</v>
      </c>
      <c r="L19" s="1840">
        <v>14.2</v>
      </c>
      <c r="M19" s="1840">
        <v>63.900000199999994</v>
      </c>
      <c r="O19" s="1856">
        <v>21504020</v>
      </c>
      <c r="P19" s="72">
        <v>78.100000199999997</v>
      </c>
      <c r="Q19" s="72">
        <v>14.2</v>
      </c>
      <c r="R19" s="72">
        <v>63.900000199999994</v>
      </c>
    </row>
    <row r="20" spans="1:19" x14ac:dyDescent="0.2">
      <c r="A20" s="84"/>
      <c r="B20" s="85"/>
      <c r="C20" s="83"/>
      <c r="D20" s="83"/>
      <c r="E20" s="86">
        <v>21504021</v>
      </c>
      <c r="F20" s="1840">
        <v>61.787818799999997</v>
      </c>
      <c r="G20" s="1840">
        <v>6.5035999999999996</v>
      </c>
      <c r="H20" s="1840">
        <v>55.284218799999998</v>
      </c>
      <c r="I20" s="82"/>
      <c r="J20" s="82"/>
      <c r="K20" s="1840">
        <v>68.291800300000006</v>
      </c>
      <c r="L20" s="1840">
        <v>6.52</v>
      </c>
      <c r="M20" s="1840">
        <v>61.77180030000001</v>
      </c>
      <c r="O20" s="1856">
        <v>21504021</v>
      </c>
      <c r="P20" s="72">
        <v>68.291800300000006</v>
      </c>
      <c r="Q20" s="72">
        <v>6.52</v>
      </c>
      <c r="R20" s="72">
        <v>61.77180030000001</v>
      </c>
    </row>
    <row r="21" spans="1:19" x14ac:dyDescent="0.2">
      <c r="A21" s="86"/>
      <c r="B21" s="82"/>
      <c r="C21" s="86"/>
      <c r="D21" s="82"/>
      <c r="E21" s="86">
        <v>21504024</v>
      </c>
      <c r="F21" s="1842">
        <v>3.0578055000000002</v>
      </c>
      <c r="G21" s="1842">
        <v>0.47039999999999998</v>
      </c>
      <c r="H21" s="1842">
        <v>2.5874055</v>
      </c>
      <c r="I21" s="82"/>
      <c r="J21" s="82"/>
      <c r="K21" s="1842">
        <v>3.5282371000000001</v>
      </c>
      <c r="L21" s="1842">
        <v>0.47039999999999998</v>
      </c>
      <c r="M21" s="1842">
        <v>3.0578371</v>
      </c>
      <c r="O21" s="1856">
        <v>21504024</v>
      </c>
      <c r="P21" s="72">
        <v>3.5282371000000001</v>
      </c>
      <c r="Q21" s="72">
        <v>0.47039999999999998</v>
      </c>
      <c r="R21" s="72">
        <v>3.0578371</v>
      </c>
    </row>
    <row r="22" spans="1:19" x14ac:dyDescent="0.2">
      <c r="A22" s="86"/>
      <c r="B22" s="82"/>
      <c r="C22" s="86"/>
      <c r="D22" s="82"/>
      <c r="E22" s="86">
        <v>21504025</v>
      </c>
      <c r="F22" s="1842">
        <v>10.5760197</v>
      </c>
      <c r="G22" s="1842">
        <v>1.6272</v>
      </c>
      <c r="H22" s="1842">
        <v>8.9488196999999996</v>
      </c>
      <c r="I22" s="82"/>
      <c r="J22" s="82"/>
      <c r="K22" s="1842">
        <v>12.203099999999999</v>
      </c>
      <c r="L22" s="1842">
        <v>1.6272</v>
      </c>
      <c r="M22" s="1842">
        <v>10.575899999999999</v>
      </c>
      <c r="O22" s="1856">
        <v>21504025</v>
      </c>
      <c r="P22" s="72">
        <v>12.203099999999999</v>
      </c>
      <c r="Q22" s="72">
        <v>1.6272</v>
      </c>
      <c r="R22" s="72">
        <v>10.575899999999999</v>
      </c>
    </row>
    <row r="23" spans="1:19" x14ac:dyDescent="0.2">
      <c r="A23" s="86"/>
      <c r="B23" s="82"/>
      <c r="C23" s="86"/>
      <c r="D23" s="82"/>
      <c r="E23" s="86">
        <v>21504029</v>
      </c>
      <c r="F23" s="1842">
        <v>1.5491785</v>
      </c>
      <c r="G23" s="1842">
        <v>0.29480000000000001</v>
      </c>
      <c r="H23" s="1842">
        <v>1.2543785000000001</v>
      </c>
      <c r="I23" s="82"/>
      <c r="J23" s="82"/>
      <c r="K23" s="1842">
        <v>1.84426</v>
      </c>
      <c r="L23" s="1842">
        <v>0.29480000000000001</v>
      </c>
      <c r="M23" s="1842">
        <v>1.5494600000000001</v>
      </c>
      <c r="O23" s="1856">
        <v>21504029</v>
      </c>
      <c r="P23" s="72">
        <v>1.84426</v>
      </c>
      <c r="Q23" s="72">
        <v>0.29480000000000001</v>
      </c>
      <c r="R23" s="72">
        <v>1.5494600000000001</v>
      </c>
    </row>
    <row r="24" spans="1:19" x14ac:dyDescent="0.2">
      <c r="A24" s="86"/>
      <c r="B24" s="82"/>
      <c r="C24" s="86"/>
      <c r="D24" s="82"/>
      <c r="E24" s="86">
        <v>21504030</v>
      </c>
      <c r="F24" s="1842">
        <v>0.30625279999999999</v>
      </c>
      <c r="G24" s="1842">
        <v>4.0800000000000003E-2</v>
      </c>
      <c r="H24" s="1842">
        <v>0.26545279999999999</v>
      </c>
      <c r="I24" s="82"/>
      <c r="J24" s="82"/>
      <c r="K24" s="1842">
        <v>0.34708660000000002</v>
      </c>
      <c r="L24" s="1842">
        <v>4.0800000000000003E-2</v>
      </c>
      <c r="M24" s="1842">
        <v>0.30628660000000002</v>
      </c>
      <c r="O24" s="1856">
        <v>21504030</v>
      </c>
      <c r="P24" s="72">
        <v>0.34708660000000002</v>
      </c>
      <c r="Q24" s="72">
        <v>4.0800000000000003E-2</v>
      </c>
      <c r="R24" s="72">
        <v>0.30628660000000002</v>
      </c>
    </row>
    <row r="25" spans="1:19" x14ac:dyDescent="0.2">
      <c r="A25" s="86"/>
      <c r="B25" s="82"/>
      <c r="C25" s="86"/>
      <c r="D25" s="82"/>
      <c r="E25" s="86">
        <v>21504031</v>
      </c>
      <c r="F25" s="1842">
        <v>3.8266035</v>
      </c>
      <c r="G25" s="1842">
        <v>0.51</v>
      </c>
      <c r="H25" s="1842">
        <v>3.3166035000000003</v>
      </c>
      <c r="I25" s="82"/>
      <c r="J25" s="82"/>
      <c r="K25" s="1842">
        <v>4.3368172999999999</v>
      </c>
      <c r="L25" s="1842">
        <v>0.51</v>
      </c>
      <c r="M25" s="1842">
        <v>3.8268173000000001</v>
      </c>
      <c r="O25" s="1856">
        <v>21504031</v>
      </c>
      <c r="P25" s="72">
        <v>4.3368172999999999</v>
      </c>
      <c r="Q25" s="72">
        <v>0.51</v>
      </c>
      <c r="R25" s="72">
        <v>3.8268173000000001</v>
      </c>
    </row>
    <row r="26" spans="1:19" x14ac:dyDescent="0.2">
      <c r="A26" s="86"/>
      <c r="B26" s="82"/>
      <c r="C26" s="86"/>
      <c r="D26" s="82"/>
      <c r="E26" s="86">
        <v>21504032</v>
      </c>
      <c r="F26" s="1842">
        <v>3.8987311</v>
      </c>
      <c r="G26" s="1842">
        <v>0.51959999999999995</v>
      </c>
      <c r="H26" s="1842">
        <v>3.3791310999999999</v>
      </c>
      <c r="I26" s="82"/>
      <c r="J26" s="82"/>
      <c r="K26" s="1842">
        <v>4.4185619000000003</v>
      </c>
      <c r="L26" s="1842">
        <v>0.51959999999999995</v>
      </c>
      <c r="M26" s="1842">
        <v>3.8989619000000002</v>
      </c>
      <c r="O26" s="1856">
        <v>21504032</v>
      </c>
      <c r="P26" s="72">
        <v>4.4185619000000003</v>
      </c>
      <c r="Q26" s="72">
        <v>0.51959999999999995</v>
      </c>
      <c r="R26" s="72">
        <v>3.8989619000000002</v>
      </c>
    </row>
    <row r="27" spans="1:19" x14ac:dyDescent="0.2">
      <c r="A27" s="86"/>
      <c r="B27" s="82"/>
      <c r="C27" s="86"/>
      <c r="D27" s="82"/>
      <c r="E27" s="86">
        <v>21504034</v>
      </c>
      <c r="F27" s="1842">
        <v>3.2433709999999998</v>
      </c>
      <c r="G27" s="1842">
        <v>0.49880000000000002</v>
      </c>
      <c r="H27" s="1842">
        <v>2.7445709999999996</v>
      </c>
      <c r="I27" s="82"/>
      <c r="J27" s="82"/>
      <c r="K27" s="1842">
        <v>3.7423511</v>
      </c>
      <c r="L27" s="1842">
        <v>0.49880000000000002</v>
      </c>
      <c r="M27" s="1842">
        <v>3.2435510999999999</v>
      </c>
      <c r="O27" s="1856">
        <v>21504034</v>
      </c>
      <c r="P27" s="72">
        <v>3.7423511</v>
      </c>
      <c r="Q27" s="72">
        <v>0.49880000000000002</v>
      </c>
      <c r="R27" s="72">
        <v>3.2435510999999999</v>
      </c>
    </row>
    <row r="28" spans="1:19" x14ac:dyDescent="0.2">
      <c r="A28" s="86"/>
      <c r="B28" s="82"/>
      <c r="C28" s="86"/>
      <c r="D28" s="82"/>
      <c r="E28" s="86">
        <v>21504037</v>
      </c>
      <c r="F28" s="1842">
        <v>6.8300953</v>
      </c>
      <c r="G28" s="1842">
        <v>1.1879999999999999</v>
      </c>
      <c r="H28" s="1842">
        <v>5.6420953000000003</v>
      </c>
      <c r="I28" s="82"/>
      <c r="J28" s="82"/>
      <c r="K28" s="1842">
        <v>8.0179378000000003</v>
      </c>
      <c r="L28" s="1842">
        <v>1.1879999999999999</v>
      </c>
      <c r="M28" s="1842">
        <v>6.8299378000000006</v>
      </c>
      <c r="O28" s="1856">
        <v>21504037</v>
      </c>
      <c r="P28" s="72">
        <v>8.0179378000000003</v>
      </c>
      <c r="Q28" s="72">
        <v>1.1879999999999999</v>
      </c>
      <c r="R28" s="72">
        <v>6.8299378000000006</v>
      </c>
    </row>
    <row r="29" spans="1:19" x14ac:dyDescent="0.2">
      <c r="A29" s="86"/>
      <c r="B29" s="82"/>
      <c r="C29" s="86"/>
      <c r="D29" s="82"/>
      <c r="E29" s="86">
        <v>21504038</v>
      </c>
      <c r="F29" s="1842">
        <v>16.542000000000002</v>
      </c>
      <c r="G29" s="1842">
        <v>1.8380000000000001</v>
      </c>
      <c r="H29" s="1842">
        <v>14.704000000000001</v>
      </c>
      <c r="I29" s="82"/>
      <c r="J29" s="82"/>
      <c r="K29" s="1842">
        <v>18.38</v>
      </c>
      <c r="L29" s="1842">
        <v>1.8380000000000001</v>
      </c>
      <c r="M29" s="1842">
        <v>16.541999999999998</v>
      </c>
      <c r="O29" s="1856">
        <v>21504038</v>
      </c>
      <c r="P29" s="72">
        <v>18.38</v>
      </c>
      <c r="Q29" s="72">
        <v>1.8380000000000001</v>
      </c>
      <c r="R29" s="72">
        <v>16.541999999999998</v>
      </c>
    </row>
    <row r="30" spans="1:19" x14ac:dyDescent="0.2">
      <c r="A30" s="86"/>
      <c r="B30" s="82"/>
      <c r="C30" s="86"/>
      <c r="D30" s="82"/>
      <c r="E30" s="86">
        <v>21504039</v>
      </c>
      <c r="F30" s="1842">
        <v>9.5924212999999998</v>
      </c>
      <c r="G30" s="1842">
        <v>1.744</v>
      </c>
      <c r="H30" s="1842">
        <v>7.8484213</v>
      </c>
      <c r="I30" s="82"/>
      <c r="J30" s="82"/>
      <c r="K30" s="1842">
        <v>11.336497700000001</v>
      </c>
      <c r="L30" s="1842">
        <v>1.744</v>
      </c>
      <c r="M30" s="1842">
        <v>9.5924977000000009</v>
      </c>
      <c r="O30" s="1856">
        <v>21504039</v>
      </c>
      <c r="P30" s="72">
        <v>11.336497700000001</v>
      </c>
      <c r="Q30" s="72">
        <v>1.744</v>
      </c>
      <c r="R30" s="72">
        <v>9.5924977000000009</v>
      </c>
    </row>
    <row r="31" spans="1:19" x14ac:dyDescent="0.2">
      <c r="A31" s="86"/>
      <c r="B31" s="82"/>
      <c r="C31" s="86"/>
      <c r="D31" s="82"/>
      <c r="E31" s="86">
        <v>21504040</v>
      </c>
      <c r="F31" s="1842">
        <v>5.6213328000000002</v>
      </c>
      <c r="G31" s="1842">
        <v>0.72519999999999996</v>
      </c>
      <c r="H31" s="1842">
        <v>4.8961328000000002</v>
      </c>
      <c r="I31" s="82"/>
      <c r="J31" s="82"/>
      <c r="K31" s="1842">
        <v>6.3466661000000002</v>
      </c>
      <c r="L31" s="1842">
        <v>0.72519999999999996</v>
      </c>
      <c r="M31" s="1842">
        <v>5.6214661000000001</v>
      </c>
      <c r="O31" s="1856">
        <v>21504040</v>
      </c>
      <c r="P31" s="72">
        <v>6.3466661000000002</v>
      </c>
      <c r="Q31" s="72">
        <v>0.72519999999999996</v>
      </c>
      <c r="R31" s="72">
        <v>5.6214661000000001</v>
      </c>
    </row>
    <row r="32" spans="1:19" x14ac:dyDescent="0.2">
      <c r="A32" s="86"/>
      <c r="B32" s="82"/>
      <c r="C32" s="86"/>
      <c r="D32" s="82"/>
      <c r="E32" s="86">
        <v>21504042</v>
      </c>
      <c r="F32" s="1842">
        <v>0.72072429999999998</v>
      </c>
      <c r="G32" s="1842">
        <v>0.1108</v>
      </c>
      <c r="H32" s="1842">
        <v>0.60992429999999997</v>
      </c>
      <c r="I32" s="82"/>
      <c r="J32" s="82"/>
      <c r="K32" s="1842">
        <v>0.83160509999999999</v>
      </c>
      <c r="L32" s="1842">
        <v>0.1108</v>
      </c>
      <c r="M32" s="1842">
        <v>0.72080509999999998</v>
      </c>
      <c r="O32" s="1856">
        <v>21504042</v>
      </c>
      <c r="P32" s="72">
        <v>0.83160509999999999</v>
      </c>
      <c r="Q32" s="72">
        <v>0.1108</v>
      </c>
      <c r="R32" s="72">
        <v>0.72080509999999998</v>
      </c>
    </row>
    <row r="33" spans="1:18" x14ac:dyDescent="0.2">
      <c r="A33" s="86"/>
      <c r="B33" s="82"/>
      <c r="C33" s="86"/>
      <c r="D33" s="82"/>
      <c r="E33" s="86">
        <v>21504043</v>
      </c>
      <c r="F33" s="1842">
        <v>3.0271883000000002</v>
      </c>
      <c r="G33" s="1842">
        <v>0.46560000000000001</v>
      </c>
      <c r="H33" s="1842">
        <v>2.5615883000000004</v>
      </c>
      <c r="I33" s="82"/>
      <c r="J33" s="82"/>
      <c r="K33" s="1842">
        <v>3.4929098999999999</v>
      </c>
      <c r="L33" s="1842">
        <v>0.46560000000000001</v>
      </c>
      <c r="M33" s="1842">
        <v>3.0273098999999997</v>
      </c>
      <c r="O33" s="1856">
        <v>21504043</v>
      </c>
      <c r="P33" s="72">
        <v>3.4929098999999999</v>
      </c>
      <c r="Q33" s="72">
        <v>0.46560000000000001</v>
      </c>
      <c r="R33" s="72">
        <v>3.0273098999999997</v>
      </c>
    </row>
    <row r="34" spans="1:18" x14ac:dyDescent="0.2">
      <c r="A34" s="86"/>
      <c r="B34" s="82"/>
      <c r="C34" s="86"/>
      <c r="D34" s="82"/>
      <c r="E34" s="86">
        <v>21504044</v>
      </c>
      <c r="F34" s="1842">
        <v>0.8689519</v>
      </c>
      <c r="G34" s="1842">
        <v>0.1336</v>
      </c>
      <c r="H34" s="1842">
        <v>0.73535189999999995</v>
      </c>
      <c r="I34" s="82"/>
      <c r="J34" s="82"/>
      <c r="K34" s="1842">
        <v>1.0026366</v>
      </c>
      <c r="L34" s="1842">
        <v>0.1336</v>
      </c>
      <c r="M34" s="1842">
        <v>0.86903660000000005</v>
      </c>
      <c r="O34" s="1856">
        <v>21504044</v>
      </c>
      <c r="P34" s="72">
        <v>1.0026366</v>
      </c>
      <c r="Q34" s="72">
        <v>0.1336</v>
      </c>
      <c r="R34" s="72">
        <v>0.86903660000000005</v>
      </c>
    </row>
    <row r="35" spans="1:18" x14ac:dyDescent="0.2">
      <c r="A35" s="86"/>
      <c r="B35" s="82"/>
      <c r="C35" s="86"/>
      <c r="D35" s="82"/>
      <c r="E35" s="86">
        <v>21504045</v>
      </c>
      <c r="F35" s="1842">
        <v>2.8093224999999999</v>
      </c>
      <c r="G35" s="1842">
        <v>0.43240000000000001</v>
      </c>
      <c r="H35" s="1842">
        <v>2.3769225</v>
      </c>
      <c r="I35" s="82"/>
      <c r="J35" s="82"/>
      <c r="K35" s="1842">
        <v>3.2415259000000001</v>
      </c>
      <c r="L35" s="1842">
        <v>0.43240000000000001</v>
      </c>
      <c r="M35" s="1842">
        <v>2.8091259000000002</v>
      </c>
      <c r="O35" s="1856">
        <v>21504045</v>
      </c>
      <c r="P35" s="72">
        <v>3.2415259000000001</v>
      </c>
      <c r="Q35" s="72">
        <v>0.43240000000000001</v>
      </c>
      <c r="R35" s="72">
        <v>2.8091259000000002</v>
      </c>
    </row>
    <row r="36" spans="1:18" x14ac:dyDescent="0.2">
      <c r="A36" s="86"/>
      <c r="B36" s="82"/>
      <c r="C36" s="86"/>
      <c r="D36" s="82"/>
      <c r="E36" s="86">
        <v>21504081</v>
      </c>
      <c r="F36" s="1842">
        <v>425.97326980000003</v>
      </c>
      <c r="G36" s="1842">
        <v>29.12</v>
      </c>
      <c r="H36" s="1842">
        <v>396.85326980000002</v>
      </c>
      <c r="I36" s="82"/>
      <c r="J36" s="82"/>
      <c r="K36" s="1842">
        <v>409.31060500000001</v>
      </c>
      <c r="L36" s="1842">
        <v>29.12</v>
      </c>
      <c r="M36" s="1842">
        <v>380.19060500000001</v>
      </c>
      <c r="O36" s="1856">
        <v>21504081</v>
      </c>
      <c r="P36" s="72">
        <v>409.31060500000001</v>
      </c>
      <c r="Q36" s="72">
        <v>29.12</v>
      </c>
      <c r="R36" s="72">
        <v>380.19060500000001</v>
      </c>
    </row>
    <row r="37" spans="1:18" x14ac:dyDescent="0.2">
      <c r="A37" s="86"/>
      <c r="B37" s="82"/>
      <c r="C37" s="86"/>
      <c r="D37" s="82"/>
      <c r="E37" s="86">
        <v>21524001</v>
      </c>
      <c r="F37" s="1842">
        <v>8.3397207000000009</v>
      </c>
      <c r="G37" s="1842">
        <v>8.3397207000000009</v>
      </c>
      <c r="H37" s="1842">
        <v>0</v>
      </c>
      <c r="I37" s="82"/>
      <c r="J37" s="82"/>
      <c r="K37" s="1842">
        <v>27.671571499999999</v>
      </c>
      <c r="L37" s="1842">
        <v>27.671571499999999</v>
      </c>
      <c r="M37" s="1842">
        <v>0</v>
      </c>
      <c r="O37" s="1856">
        <v>21524001</v>
      </c>
      <c r="P37" s="72">
        <v>27.671571499999999</v>
      </c>
      <c r="Q37" s="72">
        <v>27.671571499999999</v>
      </c>
      <c r="R37" s="72">
        <v>0</v>
      </c>
    </row>
    <row r="38" spans="1:18" x14ac:dyDescent="0.2">
      <c r="A38" s="86"/>
      <c r="B38" s="82"/>
      <c r="C38" s="86"/>
      <c r="D38" s="82"/>
      <c r="E38" s="86">
        <v>21504090</v>
      </c>
      <c r="F38" s="1842">
        <v>3.6241050000000001</v>
      </c>
      <c r="G38" s="1842">
        <v>0</v>
      </c>
      <c r="H38" s="1842">
        <v>3.6241050000000001</v>
      </c>
      <c r="I38" s="82"/>
      <c r="J38" s="82"/>
      <c r="K38" s="1842">
        <v>2.3513516000000001</v>
      </c>
      <c r="L38" s="1842">
        <v>0</v>
      </c>
      <c r="M38" s="1842">
        <v>2.3513516000000001</v>
      </c>
      <c r="O38" s="1856">
        <v>21504090</v>
      </c>
      <c r="P38" s="72">
        <v>2.3513516000000001</v>
      </c>
      <c r="Q38" s="72">
        <v>0</v>
      </c>
      <c r="R38" s="72">
        <v>2.3513516000000001</v>
      </c>
    </row>
    <row r="39" spans="1:18" x14ac:dyDescent="0.2">
      <c r="A39" s="86"/>
      <c r="B39" s="82"/>
      <c r="C39" s="86"/>
      <c r="D39" s="82"/>
      <c r="E39" s="86">
        <v>21504091</v>
      </c>
      <c r="F39" s="1842">
        <v>1.7411399000000001</v>
      </c>
      <c r="G39" s="1842">
        <v>0</v>
      </c>
      <c r="H39" s="1842">
        <v>1.7411399000000001</v>
      </c>
      <c r="I39" s="82"/>
      <c r="J39" s="82"/>
      <c r="K39" s="1842">
        <v>1.7411399000000001</v>
      </c>
      <c r="L39" s="1842">
        <v>0</v>
      </c>
      <c r="M39" s="1842">
        <v>1.7411399000000001</v>
      </c>
      <c r="O39" s="1856">
        <v>21504091</v>
      </c>
      <c r="P39" s="72">
        <v>1.7411399000000001</v>
      </c>
      <c r="Q39" s="72">
        <v>0</v>
      </c>
      <c r="R39" s="72">
        <v>1.7411399000000001</v>
      </c>
    </row>
    <row r="40" spans="1:18" x14ac:dyDescent="0.2">
      <c r="A40" s="86"/>
      <c r="B40" s="82"/>
      <c r="C40" s="86"/>
      <c r="D40" s="82"/>
      <c r="E40" s="86">
        <v>21504092</v>
      </c>
      <c r="F40" s="1842">
        <v>4.4467920000000003</v>
      </c>
      <c r="G40" s="1842">
        <v>0</v>
      </c>
      <c r="H40" s="1842">
        <v>4.4467920000000003</v>
      </c>
      <c r="I40" s="82"/>
      <c r="J40" s="82"/>
      <c r="K40" s="1842">
        <v>4.4467920000000003</v>
      </c>
      <c r="L40" s="1842">
        <v>0</v>
      </c>
      <c r="M40" s="1842">
        <v>4.4467920000000003</v>
      </c>
      <c r="O40" s="1856">
        <v>21504092</v>
      </c>
      <c r="P40" s="72">
        <v>4.4467920000000003</v>
      </c>
      <c r="Q40" s="72">
        <v>0</v>
      </c>
      <c r="R40" s="72">
        <v>4.4467920000000003</v>
      </c>
    </row>
    <row r="41" spans="1:18" x14ac:dyDescent="0.2">
      <c r="A41" s="86"/>
      <c r="B41" s="82"/>
      <c r="C41" s="86"/>
      <c r="D41" s="82"/>
      <c r="E41" s="86">
        <v>21504093</v>
      </c>
      <c r="F41" s="1842">
        <v>10.65</v>
      </c>
      <c r="G41" s="1842">
        <v>0</v>
      </c>
      <c r="H41" s="1842">
        <v>10.65</v>
      </c>
      <c r="I41" s="82"/>
      <c r="J41" s="82"/>
      <c r="K41" s="1842">
        <v>10.65</v>
      </c>
      <c r="L41" s="1842">
        <v>0</v>
      </c>
      <c r="M41" s="1842">
        <v>10.65</v>
      </c>
      <c r="O41" s="1856">
        <v>21504093</v>
      </c>
      <c r="P41" s="72">
        <v>10.65</v>
      </c>
      <c r="Q41" s="72">
        <v>0</v>
      </c>
      <c r="R41" s="72">
        <v>10.65</v>
      </c>
    </row>
    <row r="42" spans="1:18" x14ac:dyDescent="0.2">
      <c r="A42" s="86"/>
      <c r="B42" s="82"/>
      <c r="C42" s="86"/>
      <c r="D42" s="82"/>
      <c r="E42" s="86">
        <v>21504097</v>
      </c>
      <c r="F42" s="1842">
        <v>5.2247079000000003</v>
      </c>
      <c r="G42" s="1842">
        <v>0</v>
      </c>
      <c r="H42" s="1842">
        <v>5.2247079000000003</v>
      </c>
      <c r="I42" s="82"/>
      <c r="J42" s="82"/>
      <c r="K42" s="1842">
        <v>4.6243607000000004</v>
      </c>
      <c r="L42" s="1842">
        <v>0</v>
      </c>
      <c r="M42" s="1842">
        <v>4.6243607000000004</v>
      </c>
      <c r="O42" s="1856">
        <v>21504097</v>
      </c>
      <c r="P42" s="72">
        <v>4.6243607000000004</v>
      </c>
      <c r="Q42" s="72">
        <v>0</v>
      </c>
      <c r="R42" s="72">
        <v>4.6243607000000004</v>
      </c>
    </row>
    <row r="43" spans="1:18" x14ac:dyDescent="0.2">
      <c r="A43" s="86"/>
      <c r="B43" s="82"/>
      <c r="C43" s="86"/>
      <c r="D43" s="82"/>
      <c r="E43" s="86">
        <v>21540002</v>
      </c>
      <c r="F43" s="1842">
        <v>180</v>
      </c>
      <c r="G43" s="1842">
        <v>0</v>
      </c>
      <c r="H43" s="1842">
        <v>180</v>
      </c>
      <c r="I43" s="82"/>
      <c r="J43" s="82"/>
      <c r="K43" s="1842">
        <v>180</v>
      </c>
      <c r="L43" s="1842">
        <v>0</v>
      </c>
      <c r="M43" s="1842">
        <v>180</v>
      </c>
      <c r="O43" s="1856">
        <v>21540002</v>
      </c>
      <c r="P43" s="72">
        <v>180</v>
      </c>
      <c r="Q43" s="72">
        <v>0</v>
      </c>
      <c r="R43" s="72">
        <v>180</v>
      </c>
    </row>
    <row r="44" spans="1:18" x14ac:dyDescent="0.2">
      <c r="A44" s="86"/>
      <c r="B44" s="82"/>
      <c r="C44" s="86"/>
      <c r="D44" s="82"/>
      <c r="E44" s="86">
        <v>21504098</v>
      </c>
      <c r="F44" s="1842">
        <v>52.018154899999999</v>
      </c>
      <c r="G44" s="1842">
        <v>0</v>
      </c>
      <c r="H44" s="1842">
        <v>52.018154899999999</v>
      </c>
      <c r="I44" s="82"/>
      <c r="J44" s="82"/>
      <c r="K44" s="1842">
        <v>17.0366766</v>
      </c>
      <c r="L44" s="1842">
        <v>0</v>
      </c>
      <c r="M44" s="1842">
        <v>17.0366766</v>
      </c>
      <c r="O44" s="1857">
        <v>21504098</v>
      </c>
      <c r="P44" s="72">
        <v>17.0366766</v>
      </c>
      <c r="Q44" s="72">
        <v>0</v>
      </c>
      <c r="R44" s="72">
        <v>17.0366766</v>
      </c>
    </row>
    <row r="45" spans="1:18" x14ac:dyDescent="0.2">
      <c r="A45" s="86"/>
      <c r="B45" s="82"/>
      <c r="C45" s="86"/>
      <c r="D45" s="82"/>
      <c r="E45" s="86">
        <v>21504099</v>
      </c>
      <c r="F45" s="1842">
        <v>45.52</v>
      </c>
      <c r="G45" s="1842">
        <v>0</v>
      </c>
      <c r="H45" s="1842">
        <v>45.52</v>
      </c>
      <c r="I45" s="82"/>
      <c r="J45" s="82"/>
      <c r="K45" s="1842">
        <v>12.8103008</v>
      </c>
      <c r="L45" s="1842">
        <v>0</v>
      </c>
      <c r="M45" s="1842">
        <v>12.8103008</v>
      </c>
      <c r="O45" s="1857">
        <v>21504099</v>
      </c>
      <c r="P45" s="72">
        <v>12.8103008</v>
      </c>
      <c r="Q45" s="72">
        <v>0</v>
      </c>
      <c r="R45" s="72">
        <v>12.8103008</v>
      </c>
    </row>
    <row r="46" spans="1:18" x14ac:dyDescent="0.2">
      <c r="A46" s="86"/>
      <c r="B46" s="82"/>
      <c r="C46" s="86"/>
      <c r="D46" s="82"/>
      <c r="E46" s="86">
        <v>21504087</v>
      </c>
      <c r="F46" s="1842">
        <v>96.199848000000003</v>
      </c>
      <c r="G46" s="1842">
        <v>0</v>
      </c>
      <c r="H46" s="1842">
        <v>96.199848000000003</v>
      </c>
      <c r="I46" s="82"/>
      <c r="J46" s="82"/>
      <c r="K46" s="1842">
        <v>41.024519499999997</v>
      </c>
      <c r="L46" s="1842">
        <v>0</v>
      </c>
      <c r="M46" s="1842">
        <v>41.024519499999997</v>
      </c>
      <c r="O46" s="1857">
        <v>21504087</v>
      </c>
      <c r="P46" s="72">
        <v>41.024519499999997</v>
      </c>
      <c r="Q46" s="72">
        <v>0</v>
      </c>
      <c r="R46" s="72">
        <v>41.024519499999997</v>
      </c>
    </row>
    <row r="47" spans="1:18" x14ac:dyDescent="0.2">
      <c r="A47" s="86"/>
      <c r="B47" s="82"/>
      <c r="C47" s="86"/>
      <c r="D47" s="82"/>
      <c r="E47" s="86">
        <v>21504089</v>
      </c>
      <c r="F47" s="1842">
        <v>14.232575900000001</v>
      </c>
      <c r="G47" s="1842">
        <v>0</v>
      </c>
      <c r="H47" s="1842">
        <v>14.232575900000001</v>
      </c>
      <c r="I47" s="82"/>
      <c r="J47" s="82"/>
      <c r="K47" s="1842"/>
      <c r="L47" s="1842"/>
      <c r="M47" s="1842"/>
      <c r="O47" s="1857">
        <v>21571004</v>
      </c>
      <c r="P47" s="72">
        <v>1800</v>
      </c>
      <c r="Q47" s="72">
        <v>0</v>
      </c>
      <c r="R47" s="72">
        <v>1800</v>
      </c>
    </row>
    <row r="48" spans="1:18" x14ac:dyDescent="0.2">
      <c r="A48" s="86"/>
      <c r="B48" s="82"/>
      <c r="C48" s="86"/>
      <c r="D48" s="82"/>
      <c r="E48" s="86">
        <v>21504101</v>
      </c>
      <c r="F48" s="1842">
        <v>2.5758E-2</v>
      </c>
      <c r="G48" s="1842">
        <v>0</v>
      </c>
      <c r="H48" s="1842">
        <v>2.5758E-2</v>
      </c>
      <c r="I48" s="82"/>
      <c r="J48" s="82"/>
      <c r="K48" s="1842"/>
      <c r="L48" s="1842"/>
      <c r="M48" s="1842"/>
      <c r="O48" s="1857">
        <v>21571005</v>
      </c>
      <c r="P48" s="72">
        <v>500</v>
      </c>
      <c r="Q48" s="72">
        <v>0</v>
      </c>
      <c r="R48" s="72">
        <v>500</v>
      </c>
    </row>
    <row r="49" spans="1:18" x14ac:dyDescent="0.2">
      <c r="A49" s="86"/>
      <c r="B49" s="82"/>
      <c r="C49" s="86"/>
      <c r="D49" s="82"/>
      <c r="E49" s="86">
        <v>21504102</v>
      </c>
      <c r="F49" s="1842">
        <v>2.66378E-2</v>
      </c>
      <c r="G49" s="1842">
        <v>0</v>
      </c>
      <c r="H49" s="1842">
        <v>2.66378E-2</v>
      </c>
      <c r="I49" s="82"/>
      <c r="J49" s="82"/>
      <c r="K49" s="1842"/>
      <c r="L49" s="1842"/>
      <c r="M49" s="1842"/>
      <c r="O49" s="1856"/>
    </row>
    <row r="50" spans="1:18" x14ac:dyDescent="0.2">
      <c r="A50" s="86"/>
      <c r="B50" s="82"/>
      <c r="C50" s="86"/>
      <c r="D50" s="82"/>
      <c r="E50" s="86">
        <v>21504104</v>
      </c>
      <c r="F50" s="1842">
        <v>4.7787411000000004</v>
      </c>
      <c r="G50" s="1842">
        <v>0</v>
      </c>
      <c r="H50" s="1842">
        <v>4.7787411000000004</v>
      </c>
      <c r="I50" s="82"/>
      <c r="J50" s="82"/>
      <c r="K50" s="1842"/>
      <c r="L50" s="1842"/>
      <c r="M50" s="1842"/>
      <c r="O50" s="1846" t="s">
        <v>3063</v>
      </c>
      <c r="P50" s="72">
        <v>9756.5817825999984</v>
      </c>
      <c r="Q50" s="72">
        <v>917.57677150000006</v>
      </c>
      <c r="R50" s="72">
        <v>8839.0050111000019</v>
      </c>
    </row>
    <row r="51" spans="1:18" x14ac:dyDescent="0.2">
      <c r="A51" s="86"/>
      <c r="B51" s="82"/>
      <c r="C51" s="86"/>
      <c r="D51" s="82"/>
      <c r="E51" s="86">
        <v>21504105</v>
      </c>
      <c r="F51" s="1842">
        <v>30.5247727</v>
      </c>
      <c r="G51" s="1842">
        <v>0</v>
      </c>
      <c r="H51" s="1842">
        <v>30.5247727</v>
      </c>
      <c r="I51" s="82"/>
      <c r="J51" s="82"/>
      <c r="K51" s="1842"/>
      <c r="L51" s="1842"/>
      <c r="M51" s="1842"/>
      <c r="O51" s="1850"/>
    </row>
    <row r="52" spans="1:18" x14ac:dyDescent="0.2">
      <c r="A52" s="86"/>
      <c r="B52" s="82"/>
      <c r="C52" s="86"/>
      <c r="D52" s="82"/>
      <c r="E52" s="86">
        <v>21571003</v>
      </c>
      <c r="F52" s="1842">
        <v>1703.2922977000001</v>
      </c>
      <c r="G52" s="1842">
        <v>183.85319999999999</v>
      </c>
      <c r="H52" s="1842">
        <v>1519.4390977</v>
      </c>
      <c r="I52" s="82"/>
      <c r="J52" s="82"/>
      <c r="K52" s="1842">
        <v>1887.1727430999999</v>
      </c>
      <c r="L52" s="1842">
        <v>174.18119999999999</v>
      </c>
      <c r="M52" s="1842">
        <v>1712.9915430999999</v>
      </c>
      <c r="O52" s="1850" t="s">
        <v>2855</v>
      </c>
      <c r="P52" s="72">
        <v>1723.966314604</v>
      </c>
      <c r="Q52" s="72">
        <v>431</v>
      </c>
      <c r="R52" s="72">
        <v>1292.966314604</v>
      </c>
    </row>
    <row r="53" spans="1:18" x14ac:dyDescent="0.2">
      <c r="A53" s="86"/>
      <c r="B53" s="82"/>
      <c r="C53" s="86"/>
      <c r="D53" s="82"/>
      <c r="E53" s="86">
        <v>21571004</v>
      </c>
      <c r="F53" s="1842">
        <v>1799.9999909999999</v>
      </c>
      <c r="G53" s="1842">
        <v>0</v>
      </c>
      <c r="H53" s="1842">
        <v>1799.9999909999999</v>
      </c>
      <c r="I53" s="82"/>
      <c r="J53" s="82"/>
      <c r="K53" s="1842">
        <v>1800</v>
      </c>
      <c r="L53" s="1842">
        <v>0</v>
      </c>
      <c r="M53" s="1842">
        <v>1800</v>
      </c>
      <c r="O53" s="1850" t="s">
        <v>3068</v>
      </c>
      <c r="P53" s="72">
        <v>3399.7477695309999</v>
      </c>
      <c r="Q53" s="72">
        <v>543.96</v>
      </c>
      <c r="R53" s="72">
        <v>2855.7877695309999</v>
      </c>
    </row>
    <row r="54" spans="1:18" x14ac:dyDescent="0.2">
      <c r="A54" s="86"/>
      <c r="B54" s="82"/>
      <c r="C54" s="86"/>
      <c r="D54" s="82"/>
      <c r="E54" s="86">
        <v>21571005</v>
      </c>
      <c r="F54" s="1842">
        <v>500</v>
      </c>
      <c r="G54" s="1842">
        <v>0</v>
      </c>
      <c r="H54" s="1842">
        <v>500</v>
      </c>
      <c r="I54" s="82"/>
      <c r="J54" s="82"/>
      <c r="K54" s="1842">
        <v>500</v>
      </c>
      <c r="L54" s="1842">
        <v>0</v>
      </c>
      <c r="M54" s="1842">
        <v>500</v>
      </c>
      <c r="O54" s="1850" t="s">
        <v>2848</v>
      </c>
      <c r="P54" s="72">
        <v>821.65819999600012</v>
      </c>
      <c r="Q54" s="72">
        <v>136.96</v>
      </c>
      <c r="R54" s="72">
        <v>684.69819999600008</v>
      </c>
    </row>
    <row r="55" spans="1:18" x14ac:dyDescent="0.2">
      <c r="A55" s="86"/>
      <c r="B55" s="82"/>
      <c r="C55" s="86"/>
      <c r="D55" s="82"/>
      <c r="E55" s="86">
        <v>21571006</v>
      </c>
      <c r="F55" s="1842">
        <v>449</v>
      </c>
      <c r="G55" s="1842">
        <v>0</v>
      </c>
      <c r="H55" s="1842">
        <v>449</v>
      </c>
      <c r="I55" s="82"/>
      <c r="J55" s="82"/>
      <c r="K55" s="1842"/>
      <c r="L55" s="1842"/>
      <c r="M55" s="1842"/>
      <c r="O55" s="1858">
        <v>12610831</v>
      </c>
      <c r="P55" s="72">
        <v>733.68421011600003</v>
      </c>
      <c r="Q55" s="72">
        <v>210.52</v>
      </c>
      <c r="R55" s="72">
        <v>523.16421011600005</v>
      </c>
    </row>
    <row r="56" spans="1:18" x14ac:dyDescent="0.2">
      <c r="A56" s="86"/>
      <c r="B56" s="82"/>
      <c r="C56" s="86"/>
      <c r="D56" s="82"/>
      <c r="E56" s="86"/>
      <c r="F56" s="1842"/>
      <c r="G56" s="1842"/>
      <c r="H56" s="1842"/>
      <c r="I56" s="82"/>
      <c r="J56" s="82"/>
      <c r="K56" s="1842"/>
      <c r="L56" s="1842"/>
      <c r="M56" s="1842"/>
      <c r="O56" s="1858">
        <v>12528</v>
      </c>
      <c r="P56" s="72">
        <v>88.903181955999997</v>
      </c>
      <c r="Q56" s="72">
        <v>11.48</v>
      </c>
      <c r="R56" s="72">
        <v>77.423181955999993</v>
      </c>
    </row>
    <row r="57" spans="1:18" x14ac:dyDescent="0.2">
      <c r="A57" s="1843"/>
      <c r="B57" s="1839"/>
      <c r="C57" s="1844"/>
      <c r="D57" s="1845"/>
      <c r="E57" s="1846" t="s">
        <v>3063</v>
      </c>
      <c r="F57" s="1847">
        <f t="shared" ref="F57:M57" si="1">SUM(F14:F56)</f>
        <v>11219.8307835</v>
      </c>
      <c r="G57" s="1847">
        <f t="shared" si="1"/>
        <v>1082.0128803</v>
      </c>
      <c r="H57" s="1847">
        <f t="shared" si="1"/>
        <v>10137.817903199999</v>
      </c>
      <c r="I57" s="1847">
        <f t="shared" si="1"/>
        <v>0</v>
      </c>
      <c r="J57" s="1847">
        <f t="shared" si="1"/>
        <v>0</v>
      </c>
      <c r="K57" s="1847">
        <f t="shared" si="1"/>
        <v>11643.754525699998</v>
      </c>
      <c r="L57" s="1847">
        <f t="shared" si="1"/>
        <v>1091.7579715000002</v>
      </c>
      <c r="M57" s="1847">
        <f t="shared" si="1"/>
        <v>10551.996554200001</v>
      </c>
      <c r="O57" s="1850" t="s">
        <v>3069</v>
      </c>
      <c r="P57" s="72">
        <v>3233.8955909000001</v>
      </c>
      <c r="Q57" s="72">
        <v>0</v>
      </c>
      <c r="R57" s="72">
        <v>3233.8955909000001</v>
      </c>
    </row>
    <row r="58" spans="1:18" x14ac:dyDescent="0.2">
      <c r="A58" s="86"/>
      <c r="B58" s="82"/>
      <c r="C58" s="86"/>
      <c r="D58" s="82"/>
      <c r="E58" s="86"/>
      <c r="F58" s="1842"/>
      <c r="G58" s="1842"/>
      <c r="H58" s="1842"/>
      <c r="I58" s="82"/>
      <c r="J58" s="82"/>
      <c r="K58" s="1842"/>
      <c r="L58" s="1842"/>
      <c r="M58" s="1842"/>
      <c r="O58" s="1859" t="s">
        <v>2836</v>
      </c>
      <c r="P58" s="72">
        <v>57.145556599999999</v>
      </c>
      <c r="Q58" s="72">
        <v>0</v>
      </c>
      <c r="R58" s="72">
        <v>57.145556599999999</v>
      </c>
    </row>
    <row r="59" spans="1:18" x14ac:dyDescent="0.2">
      <c r="A59" s="1848">
        <v>2</v>
      </c>
      <c r="B59" s="1839" t="s">
        <v>3064</v>
      </c>
      <c r="C59" s="1849"/>
      <c r="D59" s="1849"/>
      <c r="E59" s="1850"/>
      <c r="F59" s="1851"/>
      <c r="G59" s="1851"/>
      <c r="H59" s="1851"/>
      <c r="I59" s="1851"/>
      <c r="J59" s="1851"/>
      <c r="K59" s="1851"/>
      <c r="L59" s="1851"/>
      <c r="M59" s="1851"/>
      <c r="O59" s="1859" t="s">
        <v>2832</v>
      </c>
      <c r="P59" s="72">
        <v>0.17399999999999999</v>
      </c>
      <c r="Q59" s="72">
        <v>0</v>
      </c>
      <c r="R59" s="72">
        <v>0.17399999999999999</v>
      </c>
    </row>
    <row r="60" spans="1:18" x14ac:dyDescent="0.2">
      <c r="A60" s="86"/>
      <c r="B60" s="82"/>
      <c r="C60" s="86"/>
      <c r="D60" s="82"/>
      <c r="E60" s="86"/>
      <c r="F60" s="1842"/>
      <c r="G60" s="1842"/>
      <c r="H60" s="1842"/>
      <c r="I60" s="82"/>
      <c r="J60" s="82"/>
      <c r="K60" s="1842"/>
      <c r="L60" s="1842"/>
      <c r="M60" s="1842"/>
      <c r="O60" s="1859" t="s">
        <v>2827</v>
      </c>
      <c r="P60" s="72">
        <v>355.7161997</v>
      </c>
      <c r="Q60" s="72">
        <v>0</v>
      </c>
      <c r="R60" s="72">
        <v>355.7161997</v>
      </c>
    </row>
    <row r="61" spans="1:18" x14ac:dyDescent="0.2">
      <c r="A61" s="86"/>
      <c r="B61" s="82"/>
      <c r="C61" s="86"/>
      <c r="D61" s="82"/>
      <c r="E61" s="86" t="s">
        <v>2855</v>
      </c>
      <c r="F61" s="1842">
        <v>1292.9743351</v>
      </c>
      <c r="G61" s="1842">
        <v>430.99080000000004</v>
      </c>
      <c r="H61" s="1842">
        <v>861.98353509999993</v>
      </c>
      <c r="I61" s="82"/>
      <c r="J61" s="82"/>
      <c r="K61" s="1842">
        <v>1723.966314604</v>
      </c>
      <c r="L61" s="1842">
        <v>431</v>
      </c>
      <c r="M61" s="1842">
        <v>1292.966314604</v>
      </c>
      <c r="O61" s="1850" t="s">
        <v>2823</v>
      </c>
      <c r="P61" s="72">
        <v>5.1572978999999997</v>
      </c>
      <c r="Q61" s="72">
        <v>1.0314596</v>
      </c>
      <c r="R61" s="72">
        <v>4.1258382999999998</v>
      </c>
    </row>
    <row r="62" spans="1:18" x14ac:dyDescent="0.2">
      <c r="A62" s="86"/>
      <c r="B62" s="82"/>
      <c r="C62" s="86"/>
      <c r="D62" s="82"/>
      <c r="E62" s="86" t="s">
        <v>2851</v>
      </c>
      <c r="F62" s="1842">
        <v>2855.7881269999998</v>
      </c>
      <c r="G62" s="1842">
        <v>543.96</v>
      </c>
      <c r="H62" s="1842">
        <v>2311.8281269999998</v>
      </c>
      <c r="I62" s="82"/>
      <c r="J62" s="82"/>
      <c r="K62" s="1842">
        <v>3399.7477695309999</v>
      </c>
      <c r="L62" s="1842">
        <v>543.96</v>
      </c>
      <c r="M62" s="1842">
        <v>2855.7877695309999</v>
      </c>
      <c r="O62" s="1850" t="s">
        <v>2820</v>
      </c>
      <c r="P62" s="72">
        <v>2.9200976999999999</v>
      </c>
      <c r="Q62" s="72">
        <v>2.92</v>
      </c>
      <c r="R62" s="72">
        <v>9.769999999997836E-5</v>
      </c>
    </row>
    <row r="63" spans="1:18" x14ac:dyDescent="0.2">
      <c r="A63" s="86"/>
      <c r="B63" s="82"/>
      <c r="C63" s="86"/>
      <c r="D63" s="82"/>
      <c r="E63" s="86" t="s">
        <v>2848</v>
      </c>
      <c r="F63" s="1842">
        <v>684.71516659999998</v>
      </c>
      <c r="G63" s="1842">
        <v>136.92000000000002</v>
      </c>
      <c r="H63" s="1842">
        <v>547.7951665999999</v>
      </c>
      <c r="I63" s="82"/>
      <c r="J63" s="82"/>
      <c r="K63" s="1842">
        <v>821.65819999600012</v>
      </c>
      <c r="L63" s="1842">
        <v>136.96</v>
      </c>
      <c r="M63" s="1842">
        <v>684.69819999600008</v>
      </c>
      <c r="O63" s="1850" t="s">
        <v>3070</v>
      </c>
      <c r="P63" s="72">
        <v>0.58555029999999997</v>
      </c>
      <c r="Q63" s="72">
        <v>0.58550000000000002</v>
      </c>
      <c r="R63" s="72">
        <v>5.0299999999947609E-5</v>
      </c>
    </row>
    <row r="64" spans="1:18" x14ac:dyDescent="0.2">
      <c r="A64" s="86"/>
      <c r="B64" s="82"/>
      <c r="C64" s="86"/>
      <c r="D64" s="82"/>
      <c r="E64" s="86">
        <v>12610831</v>
      </c>
      <c r="F64" s="1842">
        <v>518.9473686</v>
      </c>
      <c r="G64" s="1842">
        <v>214.7364</v>
      </c>
      <c r="H64" s="1842">
        <v>304.2109686</v>
      </c>
      <c r="I64" s="82"/>
      <c r="J64" s="82"/>
      <c r="K64" s="1842">
        <v>733.68421011600003</v>
      </c>
      <c r="L64" s="1842">
        <v>210.52</v>
      </c>
      <c r="M64" s="1842">
        <v>523.16421011600005</v>
      </c>
      <c r="O64" s="1850" t="s">
        <v>3071</v>
      </c>
      <c r="P64" s="72">
        <v>1.9949718999999999</v>
      </c>
      <c r="Q64" s="72">
        <v>1.99</v>
      </c>
      <c r="R64" s="72">
        <v>4.9718999999999181E-3</v>
      </c>
    </row>
    <row r="65" spans="1:18" x14ac:dyDescent="0.2">
      <c r="A65" s="86"/>
      <c r="B65" s="82"/>
      <c r="C65" s="86"/>
      <c r="D65" s="82"/>
      <c r="E65" s="86">
        <v>12528</v>
      </c>
      <c r="F65" s="1842">
        <v>75.732340600000001</v>
      </c>
      <c r="G65" s="1842">
        <v>13.169999999999998</v>
      </c>
      <c r="H65" s="1842">
        <v>62.562340599999999</v>
      </c>
      <c r="I65" s="82"/>
      <c r="J65" s="82"/>
      <c r="K65" s="1842">
        <v>88.903181955999997</v>
      </c>
      <c r="L65" s="1842">
        <v>11.48</v>
      </c>
      <c r="M65" s="1842">
        <v>77.423181955999993</v>
      </c>
      <c r="O65" s="1850" t="s">
        <v>3072</v>
      </c>
      <c r="P65" s="72">
        <v>1.5995225</v>
      </c>
      <c r="Q65" s="72">
        <v>1.6</v>
      </c>
      <c r="R65" s="72">
        <v>-4.775000000001306E-4</v>
      </c>
    </row>
    <row r="66" spans="1:18" x14ac:dyDescent="0.2">
      <c r="A66" s="86"/>
      <c r="B66" s="82"/>
      <c r="C66" s="86"/>
      <c r="D66" s="82"/>
      <c r="E66" s="86" t="s">
        <v>2840</v>
      </c>
      <c r="F66" s="1842">
        <v>3353.6356031</v>
      </c>
      <c r="G66" s="1842">
        <v>0</v>
      </c>
      <c r="H66" s="1842">
        <v>3353.6356031</v>
      </c>
      <c r="I66" s="82"/>
      <c r="J66" s="82"/>
      <c r="K66" s="1842">
        <v>3233.8955909000001</v>
      </c>
      <c r="L66" s="1842">
        <v>0</v>
      </c>
      <c r="M66" s="1842">
        <v>3233.8955909000001</v>
      </c>
      <c r="O66" s="1850" t="s">
        <v>3073</v>
      </c>
      <c r="P66" s="72">
        <v>0.24952750000000001</v>
      </c>
      <c r="Q66" s="72">
        <v>0.2495</v>
      </c>
      <c r="R66" s="72">
        <v>2.7500000000013625E-5</v>
      </c>
    </row>
    <row r="67" spans="1:18" x14ac:dyDescent="0.2">
      <c r="A67" s="86"/>
      <c r="B67" s="82"/>
      <c r="C67" s="86"/>
      <c r="D67" s="82"/>
      <c r="E67" s="86" t="s">
        <v>2836</v>
      </c>
      <c r="F67" s="1842">
        <v>212.26280700000001</v>
      </c>
      <c r="G67" s="1842">
        <v>0</v>
      </c>
      <c r="H67" s="1842">
        <v>212.26280700000001</v>
      </c>
      <c r="I67" s="82"/>
      <c r="J67" s="82"/>
      <c r="K67" s="1842">
        <v>57.145556599999999</v>
      </c>
      <c r="L67" s="1842">
        <v>0</v>
      </c>
      <c r="M67" s="1842">
        <v>57.145556599999999</v>
      </c>
      <c r="O67" s="1850" t="s">
        <v>2817</v>
      </c>
      <c r="P67" s="72">
        <v>10.569914402</v>
      </c>
      <c r="Q67" s="72">
        <v>1.3192143999999999</v>
      </c>
      <c r="R67" s="72">
        <v>9.2507000020000003</v>
      </c>
    </row>
    <row r="68" spans="1:18" x14ac:dyDescent="0.2">
      <c r="A68" s="86"/>
      <c r="B68" s="82"/>
      <c r="C68" s="86"/>
      <c r="D68" s="82"/>
      <c r="E68" s="86" t="s">
        <v>2832</v>
      </c>
      <c r="F68" s="1842">
        <v>0.17255000000000001</v>
      </c>
      <c r="G68" s="1842">
        <v>0</v>
      </c>
      <c r="H68" s="1842">
        <v>0.17255000000000001</v>
      </c>
      <c r="I68" s="82"/>
      <c r="J68" s="82"/>
      <c r="K68" s="1842">
        <v>0.17399999999999999</v>
      </c>
      <c r="L68" s="1842">
        <v>0</v>
      </c>
      <c r="M68" s="1842">
        <v>0.17399999999999999</v>
      </c>
      <c r="O68" s="1850" t="s">
        <v>2814</v>
      </c>
      <c r="P68" s="72">
        <v>12.928551461000001</v>
      </c>
      <c r="Q68" s="72">
        <v>1.5210060000000001</v>
      </c>
      <c r="R68" s="72">
        <v>11.407545461000002</v>
      </c>
    </row>
    <row r="69" spans="1:18" x14ac:dyDescent="0.2">
      <c r="A69" s="86"/>
      <c r="B69" s="82"/>
      <c r="C69" s="86"/>
      <c r="D69" s="82"/>
      <c r="E69" s="86" t="s">
        <v>2827</v>
      </c>
      <c r="F69" s="1842">
        <v>355.7161997</v>
      </c>
      <c r="G69" s="1842">
        <v>0</v>
      </c>
      <c r="H69" s="1842">
        <v>355.7161997</v>
      </c>
      <c r="I69" s="82"/>
      <c r="J69" s="82"/>
      <c r="K69" s="1842">
        <v>355.7161997</v>
      </c>
      <c r="L69" s="1842">
        <v>0</v>
      </c>
      <c r="M69" s="1842">
        <v>355.7161997</v>
      </c>
      <c r="O69" s="1850" t="s">
        <v>2811</v>
      </c>
      <c r="P69" s="72">
        <v>7.8559745159999999</v>
      </c>
      <c r="Q69" s="72">
        <v>1.1638481119999999</v>
      </c>
      <c r="R69" s="72">
        <v>6.6921264039999997</v>
      </c>
    </row>
    <row r="70" spans="1:18" x14ac:dyDescent="0.2">
      <c r="A70" s="86"/>
      <c r="B70" s="82"/>
      <c r="C70" s="86"/>
      <c r="D70" s="82"/>
      <c r="E70" s="86" t="s">
        <v>2823</v>
      </c>
      <c r="F70" s="1842">
        <v>4.1258382999999998</v>
      </c>
      <c r="G70" s="1842">
        <v>1.0314596</v>
      </c>
      <c r="H70" s="1842">
        <v>3.0943787</v>
      </c>
      <c r="I70" s="82"/>
      <c r="J70" s="82"/>
      <c r="K70" s="1842">
        <v>5.1572978999999997</v>
      </c>
      <c r="L70" s="1842">
        <v>1.0314596</v>
      </c>
      <c r="M70" s="1842">
        <v>4.1258382999999998</v>
      </c>
      <c r="O70" s="1850" t="s">
        <v>2808</v>
      </c>
      <c r="P70" s="72">
        <v>7.9278098999999997</v>
      </c>
      <c r="Q70" s="72">
        <v>1.0229432000000001</v>
      </c>
      <c r="R70" s="72">
        <v>6.9048666999999995</v>
      </c>
    </row>
    <row r="71" spans="1:18" x14ac:dyDescent="0.2">
      <c r="A71" s="86"/>
      <c r="B71" s="82"/>
      <c r="C71" s="86"/>
      <c r="D71" s="82"/>
      <c r="E71" s="86" t="s">
        <v>2820</v>
      </c>
      <c r="F71" s="1842">
        <v>0</v>
      </c>
      <c r="G71" s="1842">
        <v>0</v>
      </c>
      <c r="H71" s="1842">
        <v>0</v>
      </c>
      <c r="I71" s="82"/>
      <c r="J71" s="82"/>
      <c r="K71" s="1842">
        <v>2.9200976999999999</v>
      </c>
      <c r="L71" s="1842">
        <v>2.92</v>
      </c>
      <c r="M71" s="1842">
        <v>9.769999999997836E-5</v>
      </c>
      <c r="O71" s="1850" t="s">
        <v>2806</v>
      </c>
      <c r="P71" s="72">
        <v>8.1686950450000015</v>
      </c>
      <c r="Q71" s="72">
        <v>1.2101771400000001</v>
      </c>
      <c r="R71" s="72">
        <v>6.9585179050000017</v>
      </c>
    </row>
    <row r="72" spans="1:18" x14ac:dyDescent="0.2">
      <c r="A72" s="86"/>
      <c r="B72" s="82"/>
      <c r="C72" s="86"/>
      <c r="D72" s="82"/>
      <c r="E72" s="86" t="s">
        <v>2817</v>
      </c>
      <c r="F72" s="1842">
        <v>9.7758293999999992</v>
      </c>
      <c r="G72" s="1842">
        <v>1.5039735999999999</v>
      </c>
      <c r="H72" s="1842">
        <v>8.2718557999999991</v>
      </c>
      <c r="I72" s="82"/>
      <c r="J72" s="82"/>
      <c r="K72" s="1842">
        <v>10.569914402</v>
      </c>
      <c r="L72" s="1842">
        <v>1.3192143999999999</v>
      </c>
      <c r="M72" s="1842">
        <v>9.2507000020000003</v>
      </c>
      <c r="O72" s="1850" t="s">
        <v>2803</v>
      </c>
      <c r="P72" s="72">
        <v>8.6447747959999983</v>
      </c>
      <c r="Q72" s="72">
        <v>1.2349678719999999</v>
      </c>
      <c r="R72" s="72">
        <v>7.409806923999998</v>
      </c>
    </row>
    <row r="73" spans="1:18" x14ac:dyDescent="0.2">
      <c r="A73" s="86"/>
      <c r="B73" s="82"/>
      <c r="C73" s="86"/>
      <c r="D73" s="82"/>
      <c r="E73" s="86" t="s">
        <v>2814</v>
      </c>
      <c r="F73" s="1842">
        <v>11.407545499999999</v>
      </c>
      <c r="G73" s="1842">
        <v>1.5210060000000001</v>
      </c>
      <c r="H73" s="1842">
        <v>9.8865394999999996</v>
      </c>
      <c r="I73" s="82"/>
      <c r="J73" s="82"/>
      <c r="K73" s="1842">
        <v>12.928551461000001</v>
      </c>
      <c r="L73" s="1842">
        <v>1.5210060000000001</v>
      </c>
      <c r="M73" s="1842">
        <v>11.407545461000002</v>
      </c>
      <c r="O73" s="1850" t="s">
        <v>2800</v>
      </c>
      <c r="P73" s="72">
        <v>26.724789743000002</v>
      </c>
      <c r="Q73" s="72">
        <v>3.8178272759999996</v>
      </c>
      <c r="R73" s="72">
        <v>22.906962467000003</v>
      </c>
    </row>
    <row r="74" spans="1:18" x14ac:dyDescent="0.2">
      <c r="A74" s="86"/>
      <c r="B74" s="82"/>
      <c r="C74" s="86"/>
      <c r="D74" s="82"/>
      <c r="E74" s="86" t="s">
        <v>2811</v>
      </c>
      <c r="F74" s="1842">
        <v>6.6921265999999999</v>
      </c>
      <c r="G74" s="1842">
        <v>1.1638481119999999</v>
      </c>
      <c r="H74" s="1842">
        <v>5.5282784879999998</v>
      </c>
      <c r="I74" s="82"/>
      <c r="J74" s="82"/>
      <c r="K74" s="1842">
        <v>7.8559745159999999</v>
      </c>
      <c r="L74" s="1842">
        <v>1.1638481119999999</v>
      </c>
      <c r="M74" s="1842">
        <v>6.6921264039999997</v>
      </c>
      <c r="O74" s="1850" t="s">
        <v>2797</v>
      </c>
      <c r="P74" s="72">
        <v>6.9500060280000016</v>
      </c>
      <c r="Q74" s="72">
        <v>1.029630496</v>
      </c>
      <c r="R74" s="72">
        <v>5.9203755320000013</v>
      </c>
    </row>
    <row r="75" spans="1:18" x14ac:dyDescent="0.2">
      <c r="A75" s="86"/>
      <c r="B75" s="82"/>
      <c r="C75" s="86"/>
      <c r="D75" s="82"/>
      <c r="E75" s="86" t="s">
        <v>2808</v>
      </c>
      <c r="F75" s="1842">
        <v>6.9048667000000004</v>
      </c>
      <c r="G75" s="1842">
        <v>1.0229432000000001</v>
      </c>
      <c r="H75" s="1842">
        <v>5.8819235000000001</v>
      </c>
      <c r="I75" s="82"/>
      <c r="J75" s="82"/>
      <c r="K75" s="1842">
        <v>7.9278098999999997</v>
      </c>
      <c r="L75" s="1842">
        <v>1.0229432000000001</v>
      </c>
      <c r="M75" s="1842">
        <v>6.9048666999999995</v>
      </c>
      <c r="O75" s="1850" t="s">
        <v>2794</v>
      </c>
      <c r="P75" s="72">
        <v>10.065971129000003</v>
      </c>
      <c r="Q75" s="72">
        <v>1.4912550280000001</v>
      </c>
      <c r="R75" s="72">
        <v>8.5747161010000035</v>
      </c>
    </row>
    <row r="76" spans="1:18" x14ac:dyDescent="0.2">
      <c r="A76" s="86"/>
      <c r="B76" s="82"/>
      <c r="C76" s="86"/>
      <c r="D76" s="82"/>
      <c r="E76" s="86" t="s">
        <v>2806</v>
      </c>
      <c r="F76" s="1842">
        <v>6.9585178000000001</v>
      </c>
      <c r="G76" s="1842">
        <v>1.21</v>
      </c>
      <c r="H76" s="1842">
        <v>5.7485178000000001</v>
      </c>
      <c r="I76" s="82"/>
      <c r="J76" s="82"/>
      <c r="K76" s="1842">
        <v>8.1686950450000015</v>
      </c>
      <c r="L76" s="1842">
        <v>1.2101771400000001</v>
      </c>
      <c r="M76" s="1842">
        <v>6.9585179050000017</v>
      </c>
      <c r="O76" s="1850" t="s">
        <v>2792</v>
      </c>
      <c r="P76" s="72">
        <v>8.5249830000000006</v>
      </c>
      <c r="Q76" s="72">
        <v>0.639373725</v>
      </c>
      <c r="R76" s="72">
        <v>7.8856092750000002</v>
      </c>
    </row>
    <row r="77" spans="1:18" x14ac:dyDescent="0.2">
      <c r="A77" s="86"/>
      <c r="B77" s="82"/>
      <c r="C77" s="86"/>
      <c r="D77" s="82"/>
      <c r="E77" s="86" t="s">
        <v>2803</v>
      </c>
      <c r="F77" s="1842">
        <v>7.4098066999999999</v>
      </c>
      <c r="G77" s="1842">
        <v>1.2349680000000001</v>
      </c>
      <c r="H77" s="1842">
        <v>6.1748386999999996</v>
      </c>
      <c r="I77" s="82"/>
      <c r="J77" s="82"/>
      <c r="K77" s="1842">
        <v>8.6447747959999983</v>
      </c>
      <c r="L77" s="1842">
        <v>1.2349678719999999</v>
      </c>
      <c r="M77" s="1842">
        <v>7.409806923999998</v>
      </c>
      <c r="O77" s="1850" t="s">
        <v>2789</v>
      </c>
      <c r="P77" s="72">
        <v>12.260474997000003</v>
      </c>
      <c r="Q77" s="72">
        <v>1.6911000040000004</v>
      </c>
      <c r="R77" s="72">
        <v>10.569374993000002</v>
      </c>
    </row>
    <row r="78" spans="1:18" x14ac:dyDescent="0.2">
      <c r="A78" s="86"/>
      <c r="B78" s="82"/>
      <c r="C78" s="86"/>
      <c r="D78" s="82"/>
      <c r="E78" s="86" t="s">
        <v>2800</v>
      </c>
      <c r="F78" s="1842">
        <v>22.9069626</v>
      </c>
      <c r="G78" s="1842">
        <v>3.8178272</v>
      </c>
      <c r="H78" s="1842">
        <v>19.0891354</v>
      </c>
      <c r="I78" s="82"/>
      <c r="J78" s="82"/>
      <c r="K78" s="1842">
        <v>26.724789743000002</v>
      </c>
      <c r="L78" s="1842">
        <v>3.8178272759999996</v>
      </c>
      <c r="M78" s="1842">
        <v>22.906962467000003</v>
      </c>
      <c r="O78" s="1850" t="s">
        <v>2786</v>
      </c>
      <c r="P78" s="72">
        <v>13.086473608000004</v>
      </c>
      <c r="Q78" s="72">
        <v>1.8694962560000001</v>
      </c>
      <c r="R78" s="72">
        <v>11.216977352000004</v>
      </c>
    </row>
    <row r="79" spans="1:18" x14ac:dyDescent="0.2">
      <c r="A79" s="86"/>
      <c r="B79" s="82"/>
      <c r="C79" s="86"/>
      <c r="D79" s="82"/>
      <c r="E79" s="86" t="s">
        <v>2797</v>
      </c>
      <c r="F79" s="1842">
        <v>5.9203757000000001</v>
      </c>
      <c r="G79" s="1842">
        <v>1.0296000000000001</v>
      </c>
      <c r="H79" s="1842">
        <v>4.8907756999999998</v>
      </c>
      <c r="I79" s="82"/>
      <c r="J79" s="82"/>
      <c r="K79" s="1842">
        <v>6.9500060280000016</v>
      </c>
      <c r="L79" s="1842">
        <v>1.029630496</v>
      </c>
      <c r="M79" s="1842">
        <v>5.9203755320000013</v>
      </c>
      <c r="O79" s="1850" t="s">
        <v>2783</v>
      </c>
      <c r="P79" s="72">
        <v>10.768080404000003</v>
      </c>
      <c r="Q79" s="72">
        <v>1.3569817279999998</v>
      </c>
      <c r="R79" s="72">
        <v>9.4110986760000035</v>
      </c>
    </row>
    <row r="80" spans="1:18" x14ac:dyDescent="0.2">
      <c r="A80" s="86"/>
      <c r="B80" s="82"/>
      <c r="C80" s="86"/>
      <c r="D80" s="82"/>
      <c r="E80" s="86" t="s">
        <v>2794</v>
      </c>
      <c r="F80" s="1842">
        <v>8.5747157999999999</v>
      </c>
      <c r="G80" s="1842">
        <v>1.4912000000000001</v>
      </c>
      <c r="H80" s="1842">
        <v>7.0835157999999998</v>
      </c>
      <c r="I80" s="82"/>
      <c r="J80" s="82"/>
      <c r="K80" s="1842">
        <v>10.065971129000003</v>
      </c>
      <c r="L80" s="1842">
        <v>1.4912550280000001</v>
      </c>
      <c r="M80" s="1842">
        <v>8.5747161010000035</v>
      </c>
      <c r="O80" s="1850" t="s">
        <v>2780</v>
      </c>
      <c r="P80" s="72">
        <v>9.8213581770000005</v>
      </c>
      <c r="Q80" s="72">
        <v>1.21736128</v>
      </c>
      <c r="R80" s="72">
        <v>8.603996897</v>
      </c>
    </row>
    <row r="81" spans="1:18" x14ac:dyDescent="0.2">
      <c r="A81" s="86"/>
      <c r="B81" s="82"/>
      <c r="C81" s="86"/>
      <c r="D81" s="82"/>
      <c r="E81" s="86" t="s">
        <v>2792</v>
      </c>
      <c r="F81" s="1842">
        <v>8.5249830000000006</v>
      </c>
      <c r="G81" s="1842">
        <v>0</v>
      </c>
      <c r="H81" s="1842">
        <v>8.5249830000000006</v>
      </c>
      <c r="I81" s="82"/>
      <c r="J81" s="82"/>
      <c r="K81" s="1842">
        <v>8.5249830000000006</v>
      </c>
      <c r="L81" s="1842">
        <v>0.639373725</v>
      </c>
      <c r="M81" s="1842">
        <v>7.8856092750000002</v>
      </c>
      <c r="O81" s="1850" t="s">
        <v>2777</v>
      </c>
      <c r="P81" s="72">
        <v>23.166284041999997</v>
      </c>
      <c r="Q81" s="72">
        <v>3.5640435439999996</v>
      </c>
      <c r="R81" s="72">
        <v>19.602240497999997</v>
      </c>
    </row>
    <row r="82" spans="1:18" x14ac:dyDescent="0.2">
      <c r="A82" s="86"/>
      <c r="B82" s="82"/>
      <c r="C82" s="86"/>
      <c r="D82" s="82"/>
      <c r="E82" s="86" t="s">
        <v>2789</v>
      </c>
      <c r="F82" s="1842">
        <v>10.569375000000001</v>
      </c>
      <c r="G82" s="1842">
        <v>1.6908000000000001</v>
      </c>
      <c r="H82" s="1842">
        <v>8.8785750000000014</v>
      </c>
      <c r="I82" s="82"/>
      <c r="J82" s="82"/>
      <c r="K82" s="1842">
        <v>12.260474997000003</v>
      </c>
      <c r="L82" s="1842">
        <v>1.6911000040000004</v>
      </c>
      <c r="M82" s="1842">
        <v>10.569374993000002</v>
      </c>
      <c r="O82" s="1850" t="s">
        <v>2774</v>
      </c>
      <c r="P82" s="72">
        <v>3.4272459220000004</v>
      </c>
      <c r="Q82" s="72">
        <v>0.50774010400000003</v>
      </c>
      <c r="R82" s="72">
        <v>2.9195058180000002</v>
      </c>
    </row>
    <row r="83" spans="1:18" x14ac:dyDescent="0.2">
      <c r="A83" s="86"/>
      <c r="B83" s="82"/>
      <c r="C83" s="86"/>
      <c r="D83" s="82"/>
      <c r="E83" s="86" t="s">
        <v>2786</v>
      </c>
      <c r="F83" s="1842">
        <v>11.216977099999999</v>
      </c>
      <c r="G83" s="1842">
        <v>1.8692</v>
      </c>
      <c r="H83" s="1842">
        <v>9.3477771000000001</v>
      </c>
      <c r="I83" s="82"/>
      <c r="J83" s="82"/>
      <c r="K83" s="1842">
        <v>13.086473608000004</v>
      </c>
      <c r="L83" s="1842">
        <v>1.8694962560000001</v>
      </c>
      <c r="M83" s="1842">
        <v>11.216977352000004</v>
      </c>
      <c r="O83" s="1850" t="s">
        <v>2771</v>
      </c>
      <c r="P83" s="72">
        <v>38.509095186000003</v>
      </c>
      <c r="Q83" s="72">
        <v>5.9244761519999996</v>
      </c>
      <c r="R83" s="72">
        <v>32.584619034000006</v>
      </c>
    </row>
    <row r="84" spans="1:18" x14ac:dyDescent="0.2">
      <c r="A84" s="86"/>
      <c r="B84" s="82"/>
      <c r="C84" s="86"/>
      <c r="D84" s="82"/>
      <c r="E84" s="86" t="s">
        <v>2783</v>
      </c>
      <c r="F84" s="1842">
        <v>9.3786509000000002</v>
      </c>
      <c r="G84" s="1842">
        <v>1.3892</v>
      </c>
      <c r="H84" s="1842">
        <v>7.9894509000000005</v>
      </c>
      <c r="I84" s="82"/>
      <c r="J84" s="82"/>
      <c r="K84" s="1842">
        <v>10.768080404000003</v>
      </c>
      <c r="L84" s="1842">
        <v>1.3569817279999998</v>
      </c>
      <c r="M84" s="1842">
        <v>9.4110986760000035</v>
      </c>
      <c r="O84" s="1850" t="s">
        <v>2768</v>
      </c>
      <c r="P84" s="72">
        <v>2.8924364000000001E-2</v>
      </c>
      <c r="Q84" s="72">
        <v>4.1320479999999993E-3</v>
      </c>
      <c r="R84" s="72">
        <v>2.4792316000000002E-2</v>
      </c>
    </row>
    <row r="85" spans="1:18" x14ac:dyDescent="0.2">
      <c r="A85" s="86"/>
      <c r="B85" s="82"/>
      <c r="C85" s="86"/>
      <c r="D85" s="82"/>
      <c r="E85" s="86" t="s">
        <v>2780</v>
      </c>
      <c r="F85" s="1842">
        <v>8.4183070000000004</v>
      </c>
      <c r="G85" s="1842">
        <v>1.4028</v>
      </c>
      <c r="H85" s="1842">
        <v>7.0155070000000004</v>
      </c>
      <c r="I85" s="82"/>
      <c r="J85" s="82"/>
      <c r="K85" s="1842">
        <v>9.8213581770000005</v>
      </c>
      <c r="L85" s="1842">
        <v>1.21736128</v>
      </c>
      <c r="M85" s="1842">
        <v>8.603996897</v>
      </c>
      <c r="O85" s="1850" t="s">
        <v>2765</v>
      </c>
      <c r="P85" s="72">
        <v>14.421340975</v>
      </c>
      <c r="Q85" s="72">
        <v>1.9228455</v>
      </c>
      <c r="R85" s="72">
        <v>12.498495475</v>
      </c>
    </row>
    <row r="86" spans="1:18" x14ac:dyDescent="0.2">
      <c r="A86" s="86"/>
      <c r="B86" s="82"/>
      <c r="C86" s="86"/>
      <c r="D86" s="82"/>
      <c r="E86" s="86" t="s">
        <v>2777</v>
      </c>
      <c r="F86" s="1842">
        <v>19.602240399999999</v>
      </c>
      <c r="G86" s="1842">
        <v>3.5640000000000001</v>
      </c>
      <c r="H86" s="1842">
        <v>16.038240399999999</v>
      </c>
      <c r="I86" s="82"/>
      <c r="J86" s="82"/>
      <c r="K86" s="1842">
        <v>23.166284041999997</v>
      </c>
      <c r="L86" s="1842">
        <v>3.5640435439999996</v>
      </c>
      <c r="M86" s="1842">
        <v>19.602240497999997</v>
      </c>
      <c r="O86" s="1850" t="s">
        <v>2762</v>
      </c>
      <c r="P86" s="72">
        <v>33.025323351000004</v>
      </c>
      <c r="Q86" s="72">
        <v>5.0808191320000002</v>
      </c>
      <c r="R86" s="72">
        <v>27.944504219000002</v>
      </c>
    </row>
    <row r="87" spans="1:18" x14ac:dyDescent="0.2">
      <c r="A87" s="86"/>
      <c r="B87" s="82"/>
      <c r="C87" s="86"/>
      <c r="D87" s="82"/>
      <c r="E87" s="86" t="s">
        <v>2774</v>
      </c>
      <c r="F87" s="1842">
        <v>2.9195060000000002</v>
      </c>
      <c r="G87" s="1842">
        <v>0.50760000000000005</v>
      </c>
      <c r="H87" s="1842">
        <v>2.4119060000000001</v>
      </c>
      <c r="I87" s="82"/>
      <c r="J87" s="82"/>
      <c r="K87" s="1842">
        <v>3.4272459220000004</v>
      </c>
      <c r="L87" s="1842">
        <v>0.50774010400000003</v>
      </c>
      <c r="M87" s="1842">
        <v>2.9195058180000002</v>
      </c>
      <c r="O87" s="1850" t="s">
        <v>2759</v>
      </c>
      <c r="P87" s="72">
        <v>6.7761079229999988</v>
      </c>
      <c r="Q87" s="72">
        <v>0.96801543599999995</v>
      </c>
      <c r="R87" s="72">
        <v>5.8080924869999988</v>
      </c>
    </row>
    <row r="88" spans="1:18" x14ac:dyDescent="0.2">
      <c r="A88" s="86"/>
      <c r="B88" s="82"/>
      <c r="C88" s="86"/>
      <c r="D88" s="82"/>
      <c r="E88" s="86" t="s">
        <v>2771</v>
      </c>
      <c r="F88" s="1842">
        <v>32.5846193</v>
      </c>
      <c r="G88" s="1842">
        <v>5.9244000000000003</v>
      </c>
      <c r="H88" s="1842">
        <v>26.660219300000001</v>
      </c>
      <c r="I88" s="82"/>
      <c r="J88" s="82"/>
      <c r="K88" s="1842">
        <v>38.509095186000003</v>
      </c>
      <c r="L88" s="1842">
        <v>5.9244761519999996</v>
      </c>
      <c r="M88" s="1842">
        <v>32.584619034000006</v>
      </c>
      <c r="O88" s="1850" t="s">
        <v>2756</v>
      </c>
      <c r="P88" s="72">
        <v>7.9750916520000015</v>
      </c>
      <c r="Q88" s="72">
        <v>1.1392988639999999</v>
      </c>
      <c r="R88" s="72">
        <v>6.8357927880000018</v>
      </c>
    </row>
    <row r="89" spans="1:18" x14ac:dyDescent="0.2">
      <c r="A89" s="86"/>
      <c r="B89" s="82"/>
      <c r="C89" s="86"/>
      <c r="D89" s="82"/>
      <c r="E89" s="86" t="s">
        <v>2768</v>
      </c>
      <c r="F89" s="1842">
        <v>2.4792399999999999E-2</v>
      </c>
      <c r="G89" s="1842">
        <v>4.1320000000000003E-3</v>
      </c>
      <c r="H89" s="1842">
        <v>2.0660399999999999E-2</v>
      </c>
      <c r="I89" s="82"/>
      <c r="J89" s="82"/>
      <c r="K89" s="1842">
        <v>2.8924364000000001E-2</v>
      </c>
      <c r="L89" s="1842">
        <v>4.1320479999999993E-3</v>
      </c>
      <c r="M89" s="1842">
        <v>2.4792316000000002E-2</v>
      </c>
      <c r="O89" s="1850" t="s">
        <v>2753</v>
      </c>
      <c r="P89" s="72">
        <v>8.4047898249999999</v>
      </c>
      <c r="Q89" s="72">
        <v>1.1356784559999999</v>
      </c>
      <c r="R89" s="72">
        <v>7.269111369</v>
      </c>
    </row>
    <row r="90" spans="1:18" x14ac:dyDescent="0.2">
      <c r="A90" s="86"/>
      <c r="B90" s="82"/>
      <c r="C90" s="86"/>
      <c r="D90" s="82"/>
      <c r="E90" s="86" t="s">
        <v>2765</v>
      </c>
      <c r="F90" s="1842">
        <v>12.4984953</v>
      </c>
      <c r="G90" s="1842">
        <v>1.9228000000000001</v>
      </c>
      <c r="H90" s="1842">
        <v>10.5756953</v>
      </c>
      <c r="I90" s="82"/>
      <c r="J90" s="82"/>
      <c r="K90" s="1842">
        <v>14.421340975</v>
      </c>
      <c r="L90" s="1842">
        <v>1.9228455</v>
      </c>
      <c r="M90" s="1842">
        <v>12.498495475</v>
      </c>
      <c r="O90" s="1850" t="s">
        <v>2750</v>
      </c>
      <c r="P90" s="72">
        <v>10.151325</v>
      </c>
      <c r="Q90" s="72">
        <v>1.5038999999999998</v>
      </c>
      <c r="R90" s="72">
        <v>8.6474250000000001</v>
      </c>
    </row>
    <row r="91" spans="1:18" x14ac:dyDescent="0.2">
      <c r="A91" s="86"/>
      <c r="B91" s="82"/>
      <c r="C91" s="86"/>
      <c r="D91" s="82"/>
      <c r="E91" s="86" t="s">
        <v>2762</v>
      </c>
      <c r="F91" s="1842">
        <v>27.9445041</v>
      </c>
      <c r="G91" s="1842">
        <v>5.0808</v>
      </c>
      <c r="H91" s="1842">
        <v>22.8637041</v>
      </c>
      <c r="I91" s="82"/>
      <c r="J91" s="82"/>
      <c r="K91" s="1842">
        <v>33.025323351000004</v>
      </c>
      <c r="L91" s="1842">
        <v>5.0808191320000002</v>
      </c>
      <c r="M91" s="1842">
        <v>27.944504219000002</v>
      </c>
      <c r="O91" s="1850" t="s">
        <v>2747</v>
      </c>
      <c r="P91" s="72">
        <v>7.2962943139999989</v>
      </c>
      <c r="Q91" s="72">
        <v>1.0809326480000003</v>
      </c>
      <c r="R91" s="72">
        <v>6.2153616659999988</v>
      </c>
    </row>
    <row r="92" spans="1:18" x14ac:dyDescent="0.2">
      <c r="A92" s="86"/>
      <c r="B92" s="82"/>
      <c r="C92" s="86"/>
      <c r="D92" s="82"/>
      <c r="E92" s="86" t="s">
        <v>2759</v>
      </c>
      <c r="F92" s="1842">
        <v>5.8080921999999999</v>
      </c>
      <c r="G92" s="1842">
        <v>0.96799999999999997</v>
      </c>
      <c r="H92" s="1842">
        <v>4.8400922</v>
      </c>
      <c r="I92" s="82"/>
      <c r="J92" s="82"/>
      <c r="K92" s="1842">
        <v>6.7761079229999988</v>
      </c>
      <c r="L92" s="1842">
        <v>0.96801543599999995</v>
      </c>
      <c r="M92" s="1842">
        <v>5.8080924869999988</v>
      </c>
      <c r="O92" s="1850" t="s">
        <v>2742</v>
      </c>
      <c r="P92" s="72">
        <v>9.2326403190000015</v>
      </c>
      <c r="Q92" s="72">
        <v>1.3677985079999999</v>
      </c>
      <c r="R92" s="72">
        <v>7.8648418110000016</v>
      </c>
    </row>
    <row r="93" spans="1:18" x14ac:dyDescent="0.2">
      <c r="A93" s="86"/>
      <c r="B93" s="82"/>
      <c r="C93" s="86"/>
      <c r="D93" s="82"/>
      <c r="E93" s="86" t="s">
        <v>2756</v>
      </c>
      <c r="F93" s="1842">
        <v>6.8357929000000004</v>
      </c>
      <c r="G93" s="1842">
        <v>1.1392</v>
      </c>
      <c r="H93" s="1842">
        <v>5.6965929000000006</v>
      </c>
      <c r="I93" s="82"/>
      <c r="J93" s="82"/>
      <c r="K93" s="1842">
        <v>7.9750916520000015</v>
      </c>
      <c r="L93" s="1842">
        <v>1.1392988639999999</v>
      </c>
      <c r="M93" s="1842">
        <v>6.8357927880000018</v>
      </c>
      <c r="O93" s="1850" t="s">
        <v>2739</v>
      </c>
      <c r="P93" s="72">
        <v>11.468321465000001</v>
      </c>
      <c r="Q93" s="72">
        <v>1.6990105800000002</v>
      </c>
      <c r="R93" s="72">
        <v>9.7693108850000012</v>
      </c>
    </row>
    <row r="94" spans="1:18" x14ac:dyDescent="0.2">
      <c r="A94" s="86"/>
      <c r="B94" s="82"/>
      <c r="C94" s="86"/>
      <c r="D94" s="82"/>
      <c r="E94" s="86" t="s">
        <v>2753</v>
      </c>
      <c r="F94" s="1842">
        <v>7.1117455999999999</v>
      </c>
      <c r="G94" s="1842">
        <v>1.2927999999999999</v>
      </c>
      <c r="H94" s="1842">
        <v>5.8189456000000002</v>
      </c>
      <c r="I94" s="82"/>
      <c r="J94" s="82"/>
      <c r="K94" s="1842">
        <v>8.4047898249999999</v>
      </c>
      <c r="L94" s="1842">
        <v>1.1356784559999999</v>
      </c>
      <c r="M94" s="1842">
        <v>7.269111369</v>
      </c>
      <c r="O94" s="1850" t="s">
        <v>2736</v>
      </c>
      <c r="P94" s="72">
        <v>24.002999894000002</v>
      </c>
      <c r="Q94" s="72">
        <v>3.4290000079999996</v>
      </c>
      <c r="R94" s="72">
        <v>20.573999886000003</v>
      </c>
    </row>
    <row r="95" spans="1:18" x14ac:dyDescent="0.2">
      <c r="A95" s="86"/>
      <c r="B95" s="82"/>
      <c r="C95" s="86"/>
      <c r="D95" s="82"/>
      <c r="E95" s="86" t="s">
        <v>2750</v>
      </c>
      <c r="F95" s="1842">
        <v>8.6474250000000001</v>
      </c>
      <c r="G95" s="1842">
        <v>1.5036</v>
      </c>
      <c r="H95" s="1842">
        <v>7.1438249999999996</v>
      </c>
      <c r="I95" s="82"/>
      <c r="J95" s="82"/>
      <c r="K95" s="1842">
        <v>10.151325</v>
      </c>
      <c r="L95" s="1842">
        <v>1.5038999999999998</v>
      </c>
      <c r="M95" s="1842">
        <v>8.6474250000000001</v>
      </c>
      <c r="O95" s="1850" t="s">
        <v>2733</v>
      </c>
      <c r="P95" s="72">
        <v>7.6642182600000011</v>
      </c>
      <c r="Q95" s="72">
        <v>1.0948883200000001</v>
      </c>
      <c r="R95" s="72">
        <v>6.5693299400000011</v>
      </c>
    </row>
    <row r="96" spans="1:18" x14ac:dyDescent="0.2">
      <c r="A96" s="86"/>
      <c r="B96" s="82"/>
      <c r="C96" s="86"/>
      <c r="D96" s="82"/>
      <c r="E96" s="86" t="s">
        <v>2747</v>
      </c>
      <c r="F96" s="1842">
        <v>6.2153613999999999</v>
      </c>
      <c r="G96" s="1842">
        <v>1.0808</v>
      </c>
      <c r="H96" s="1842">
        <v>5.1345613999999999</v>
      </c>
      <c r="I96" s="82"/>
      <c r="J96" s="82"/>
      <c r="K96" s="1842">
        <v>7.2962943139999989</v>
      </c>
      <c r="L96" s="1842">
        <v>1.0809326480000003</v>
      </c>
      <c r="M96" s="1842">
        <v>6.2153616659999988</v>
      </c>
      <c r="O96" s="1850" t="s">
        <v>2730</v>
      </c>
      <c r="P96" s="72">
        <v>6.3271706629999978</v>
      </c>
      <c r="Q96" s="72">
        <v>0.903881516</v>
      </c>
      <c r="R96" s="72">
        <v>5.4232891469999975</v>
      </c>
    </row>
    <row r="97" spans="1:18" x14ac:dyDescent="0.2">
      <c r="A97" s="86"/>
      <c r="B97" s="82"/>
      <c r="C97" s="86"/>
      <c r="D97" s="82"/>
      <c r="E97" s="86" t="s">
        <v>2744</v>
      </c>
      <c r="F97" s="1842">
        <v>0</v>
      </c>
      <c r="G97" s="1842">
        <v>0</v>
      </c>
      <c r="H97" s="1842">
        <v>0</v>
      </c>
      <c r="I97" s="82"/>
      <c r="J97" s="82"/>
      <c r="K97" s="1842"/>
      <c r="L97" s="1842"/>
      <c r="M97" s="1842"/>
      <c r="O97" s="1850" t="s">
        <v>2727</v>
      </c>
      <c r="P97" s="72">
        <v>13.266751065999999</v>
      </c>
      <c r="Q97" s="72">
        <v>1.9654447119999998</v>
      </c>
      <c r="R97" s="72">
        <v>11.301306353999999</v>
      </c>
    </row>
    <row r="98" spans="1:18" x14ac:dyDescent="0.2">
      <c r="A98" s="86"/>
      <c r="B98" s="82"/>
      <c r="C98" s="86"/>
      <c r="D98" s="82"/>
      <c r="E98" s="86" t="s">
        <v>2742</v>
      </c>
      <c r="F98" s="1842">
        <v>7.8648420000000003</v>
      </c>
      <c r="G98" s="1842">
        <v>1.3675999999999999</v>
      </c>
      <c r="H98" s="1842">
        <v>6.497242</v>
      </c>
      <c r="I98" s="82"/>
      <c r="J98" s="82"/>
      <c r="K98" s="1842">
        <v>9.2326403190000015</v>
      </c>
      <c r="L98" s="1842">
        <v>1.3677985079999999</v>
      </c>
      <c r="M98" s="1842">
        <v>7.8648418110000016</v>
      </c>
      <c r="O98" s="1850" t="s">
        <v>2724</v>
      </c>
      <c r="P98" s="72">
        <v>14.327324900000001</v>
      </c>
      <c r="Q98" s="72">
        <v>0.83576061916666677</v>
      </c>
      <c r="R98" s="72">
        <v>13.491564280833334</v>
      </c>
    </row>
    <row r="99" spans="1:18" x14ac:dyDescent="0.2">
      <c r="A99" s="86"/>
      <c r="B99" s="82"/>
      <c r="C99" s="86"/>
      <c r="D99" s="82"/>
      <c r="E99" s="86" t="s">
        <v>2739</v>
      </c>
      <c r="F99" s="1842">
        <v>9.7693112000000006</v>
      </c>
      <c r="G99" s="1842">
        <v>1.6988000000000001</v>
      </c>
      <c r="H99" s="1842">
        <v>8.0705112000000003</v>
      </c>
      <c r="I99" s="82"/>
      <c r="J99" s="82"/>
      <c r="K99" s="1842">
        <v>11.468321465000001</v>
      </c>
      <c r="L99" s="1842">
        <v>1.6990105800000002</v>
      </c>
      <c r="M99" s="1842">
        <v>9.7693108850000012</v>
      </c>
      <c r="O99" s="1850" t="s">
        <v>2721</v>
      </c>
      <c r="P99" s="72">
        <v>2.0115056510000007</v>
      </c>
      <c r="Q99" s="72">
        <v>0.30946233200000001</v>
      </c>
      <c r="R99" s="72">
        <v>1.7020433190000006</v>
      </c>
    </row>
    <row r="100" spans="1:18" x14ac:dyDescent="0.2">
      <c r="A100" s="86"/>
      <c r="B100" s="82"/>
      <c r="C100" s="86"/>
      <c r="D100" s="82"/>
      <c r="E100" s="86" t="s">
        <v>2736</v>
      </c>
      <c r="F100" s="1842">
        <v>20.5739999</v>
      </c>
      <c r="G100" s="1842">
        <v>3.4287999999999998</v>
      </c>
      <c r="H100" s="1842">
        <v>17.145199900000001</v>
      </c>
      <c r="I100" s="82"/>
      <c r="J100" s="82"/>
      <c r="K100" s="1842">
        <v>24.002999894000002</v>
      </c>
      <c r="L100" s="1842">
        <v>3.4290000079999996</v>
      </c>
      <c r="M100" s="1842">
        <v>20.573999886000003</v>
      </c>
      <c r="O100" s="1850" t="s">
        <v>2718</v>
      </c>
      <c r="P100" s="72">
        <v>13.9640583</v>
      </c>
      <c r="Q100" s="72">
        <v>0.1163671525</v>
      </c>
      <c r="R100" s="72">
        <v>13.847691147499999</v>
      </c>
    </row>
    <row r="101" spans="1:18" x14ac:dyDescent="0.2">
      <c r="A101" s="86"/>
      <c r="B101" s="82"/>
      <c r="C101" s="86"/>
      <c r="D101" s="82"/>
      <c r="E101" s="86" t="s">
        <v>2733</v>
      </c>
      <c r="F101" s="1842">
        <v>6.5693298000000002</v>
      </c>
      <c r="G101" s="1842">
        <v>1.0948</v>
      </c>
      <c r="H101" s="1842">
        <v>5.4745298</v>
      </c>
      <c r="I101" s="82"/>
      <c r="J101" s="82"/>
      <c r="K101" s="1842">
        <v>7.6642182600000011</v>
      </c>
      <c r="L101" s="1842">
        <v>1.0948883200000001</v>
      </c>
      <c r="M101" s="1842">
        <v>6.5693299400000011</v>
      </c>
      <c r="O101" s="1850" t="s">
        <v>2715</v>
      </c>
      <c r="P101" s="72">
        <v>100.16412423299997</v>
      </c>
      <c r="Q101" s="72">
        <v>13.815741556000006</v>
      </c>
      <c r="R101" s="72">
        <v>86.348382676999961</v>
      </c>
    </row>
    <row r="102" spans="1:18" x14ac:dyDescent="0.2">
      <c r="A102" s="86"/>
      <c r="B102" s="82"/>
      <c r="C102" s="86"/>
      <c r="D102" s="82"/>
      <c r="E102" s="86" t="s">
        <v>2730</v>
      </c>
      <c r="F102" s="1842">
        <v>5.4232889999999996</v>
      </c>
      <c r="G102" s="1842">
        <v>0.90359999999999996</v>
      </c>
      <c r="H102" s="1842">
        <v>4.5196889999999996</v>
      </c>
      <c r="I102" s="82"/>
      <c r="J102" s="82"/>
      <c r="K102" s="1842">
        <v>6.3271706629999978</v>
      </c>
      <c r="L102" s="1842">
        <v>0.903881516</v>
      </c>
      <c r="M102" s="1842">
        <v>5.4232891469999975</v>
      </c>
      <c r="O102" s="1850" t="s">
        <v>2712</v>
      </c>
      <c r="P102" s="72">
        <v>16.857282652000002</v>
      </c>
      <c r="Q102" s="72">
        <v>2.3251424640000002</v>
      </c>
      <c r="R102" s="72">
        <v>14.532140188000001</v>
      </c>
    </row>
    <row r="103" spans="1:18" x14ac:dyDescent="0.2">
      <c r="A103" s="86"/>
      <c r="B103" s="82"/>
      <c r="C103" s="86"/>
      <c r="D103" s="82"/>
      <c r="E103" s="86" t="s">
        <v>2727</v>
      </c>
      <c r="F103" s="1842">
        <v>11.301306200000001</v>
      </c>
      <c r="G103" s="1842">
        <v>1.9652000000000001</v>
      </c>
      <c r="H103" s="1842">
        <v>9.3361062000000015</v>
      </c>
      <c r="I103" s="82"/>
      <c r="J103" s="82"/>
      <c r="K103" s="1842">
        <v>13.266751065999999</v>
      </c>
      <c r="L103" s="1842">
        <v>1.9654447119999998</v>
      </c>
      <c r="M103" s="1842">
        <v>11.301306353999999</v>
      </c>
      <c r="O103" s="1850" t="s">
        <v>2709</v>
      </c>
      <c r="P103" s="72">
        <v>7.7380811299999985</v>
      </c>
      <c r="Q103" s="72">
        <v>1.0673215599999999</v>
      </c>
      <c r="R103" s="72">
        <v>6.6707595699999986</v>
      </c>
    </row>
    <row r="104" spans="1:18" x14ac:dyDescent="0.2">
      <c r="A104" s="86"/>
      <c r="B104" s="82"/>
      <c r="C104" s="86"/>
      <c r="D104" s="82"/>
      <c r="E104" s="86" t="s">
        <v>2724</v>
      </c>
      <c r="F104" s="1842">
        <v>12.778424899999999</v>
      </c>
      <c r="G104" s="1842">
        <v>1.548</v>
      </c>
      <c r="H104" s="1842">
        <v>11.230424899999999</v>
      </c>
      <c r="I104" s="82"/>
      <c r="J104" s="82"/>
      <c r="K104" s="1842">
        <v>14.327324900000001</v>
      </c>
      <c r="L104" s="1842">
        <v>0.83576061916666677</v>
      </c>
      <c r="M104" s="1842">
        <v>13.491564280833334</v>
      </c>
      <c r="O104" s="1850" t="s">
        <v>2706</v>
      </c>
      <c r="P104" s="72">
        <v>9.2294084110000014</v>
      </c>
      <c r="Q104" s="72">
        <v>1.1908914520000002</v>
      </c>
      <c r="R104" s="72">
        <v>8.0385169590000007</v>
      </c>
    </row>
    <row r="105" spans="1:18" x14ac:dyDescent="0.2">
      <c r="A105" s="86"/>
      <c r="B105" s="82"/>
      <c r="C105" s="86"/>
      <c r="D105" s="82"/>
      <c r="E105" s="86" t="s">
        <v>2721</v>
      </c>
      <c r="F105" s="1842">
        <v>1.7020432000000001</v>
      </c>
      <c r="G105" s="1842">
        <v>0.308</v>
      </c>
      <c r="H105" s="1842">
        <v>1.3940432</v>
      </c>
      <c r="I105" s="82"/>
      <c r="J105" s="82"/>
      <c r="K105" s="1842">
        <v>2.0115056510000007</v>
      </c>
      <c r="L105" s="1842">
        <v>0.30946233200000001</v>
      </c>
      <c r="M105" s="1842">
        <v>1.7020433190000006</v>
      </c>
      <c r="O105" s="1850" t="s">
        <v>2703</v>
      </c>
      <c r="P105" s="72">
        <v>8.3996668999999997</v>
      </c>
      <c r="Q105" s="72">
        <v>0.48998056916666666</v>
      </c>
      <c r="R105" s="72">
        <v>7.9096863308333329</v>
      </c>
    </row>
    <row r="106" spans="1:18" x14ac:dyDescent="0.2">
      <c r="A106" s="86"/>
      <c r="B106" s="82"/>
      <c r="C106" s="86"/>
      <c r="D106" s="82"/>
      <c r="E106" s="86" t="s">
        <v>2718</v>
      </c>
      <c r="F106" s="1842">
        <v>18.334464000000001</v>
      </c>
      <c r="G106" s="1842">
        <v>1.9476</v>
      </c>
      <c r="H106" s="1842">
        <v>16.386863999999999</v>
      </c>
      <c r="I106" s="82"/>
      <c r="J106" s="82"/>
      <c r="K106" s="1842">
        <v>13.9640583</v>
      </c>
      <c r="L106" s="1842">
        <v>0.1163671525</v>
      </c>
      <c r="M106" s="1842">
        <v>13.847691147499999</v>
      </c>
      <c r="O106" s="1850" t="s">
        <v>2700</v>
      </c>
      <c r="P106" s="72">
        <v>6.8404682549999984</v>
      </c>
      <c r="Q106" s="72">
        <v>0.94351286000000001</v>
      </c>
      <c r="R106" s="72">
        <v>5.8969553949999982</v>
      </c>
    </row>
    <row r="107" spans="1:18" x14ac:dyDescent="0.2">
      <c r="A107" s="86"/>
      <c r="B107" s="82"/>
      <c r="C107" s="86"/>
      <c r="D107" s="82"/>
      <c r="E107" s="86" t="s">
        <v>2715</v>
      </c>
      <c r="F107" s="1842">
        <v>86.348382599999994</v>
      </c>
      <c r="G107" s="1842">
        <v>13.811999999999999</v>
      </c>
      <c r="H107" s="1842">
        <v>72.536382599999996</v>
      </c>
      <c r="I107" s="82"/>
      <c r="J107" s="82"/>
      <c r="K107" s="1842">
        <v>100.16412423299997</v>
      </c>
      <c r="L107" s="1842">
        <v>13.815741556000006</v>
      </c>
      <c r="M107" s="1842">
        <v>86.348382676999961</v>
      </c>
      <c r="O107" s="1850" t="s">
        <v>2697</v>
      </c>
      <c r="P107" s="72">
        <v>8.9098401819999999</v>
      </c>
      <c r="Q107" s="72">
        <v>1.1137300240000001</v>
      </c>
      <c r="R107" s="72">
        <v>7.7961101579999994</v>
      </c>
    </row>
    <row r="108" spans="1:18" x14ac:dyDescent="0.2">
      <c r="A108" s="86"/>
      <c r="B108" s="82"/>
      <c r="C108" s="86"/>
      <c r="D108" s="82"/>
      <c r="E108" s="86" t="s">
        <v>2712</v>
      </c>
      <c r="F108" s="1842">
        <v>14.5321403</v>
      </c>
      <c r="G108" s="1842">
        <v>2.3248000000000002</v>
      </c>
      <c r="H108" s="1842">
        <v>12.2073403</v>
      </c>
      <c r="I108" s="82"/>
      <c r="J108" s="82"/>
      <c r="K108" s="1842">
        <v>16.857282652000002</v>
      </c>
      <c r="L108" s="1842">
        <v>2.3251424640000002</v>
      </c>
      <c r="M108" s="1842">
        <v>14.532140188000001</v>
      </c>
      <c r="O108" s="1850" t="s">
        <v>2694</v>
      </c>
      <c r="P108" s="72">
        <v>10.065436234</v>
      </c>
      <c r="Q108" s="72">
        <v>1.3883360880000002</v>
      </c>
      <c r="R108" s="72">
        <v>8.677100145999999</v>
      </c>
    </row>
    <row r="109" spans="1:18" x14ac:dyDescent="0.2">
      <c r="A109" s="86"/>
      <c r="B109" s="82"/>
      <c r="C109" s="86"/>
      <c r="D109" s="82"/>
      <c r="E109" s="86" t="s">
        <v>2709</v>
      </c>
      <c r="F109" s="1842">
        <v>6.6707595</v>
      </c>
      <c r="G109" s="1842">
        <v>1.0671999999999999</v>
      </c>
      <c r="H109" s="1842">
        <v>5.6035595000000002</v>
      </c>
      <c r="I109" s="82"/>
      <c r="J109" s="82"/>
      <c r="K109" s="1842">
        <v>7.7380811299999985</v>
      </c>
      <c r="L109" s="1842">
        <v>1.0673215599999999</v>
      </c>
      <c r="M109" s="1842">
        <v>6.6707595699999986</v>
      </c>
      <c r="O109" s="1850" t="s">
        <v>2691</v>
      </c>
      <c r="P109" s="72">
        <v>11.727524037</v>
      </c>
      <c r="Q109" s="72">
        <v>1.5132288839999999</v>
      </c>
      <c r="R109" s="72">
        <v>10.214295153</v>
      </c>
    </row>
    <row r="110" spans="1:18" x14ac:dyDescent="0.2">
      <c r="A110" s="86"/>
      <c r="B110" s="82"/>
      <c r="C110" s="86"/>
      <c r="D110" s="82"/>
      <c r="E110" s="86" t="s">
        <v>2706</v>
      </c>
      <c r="F110" s="1842">
        <v>8.0385167000000006</v>
      </c>
      <c r="G110" s="1842">
        <v>1.1908000000000001</v>
      </c>
      <c r="H110" s="1842">
        <v>6.8477167000000003</v>
      </c>
      <c r="I110" s="82"/>
      <c r="J110" s="82"/>
      <c r="K110" s="1842">
        <v>9.2294084110000014</v>
      </c>
      <c r="L110" s="1842">
        <v>1.1908914520000002</v>
      </c>
      <c r="M110" s="1842">
        <v>8.0385169590000007</v>
      </c>
      <c r="O110" s="1850" t="s">
        <v>2688</v>
      </c>
      <c r="P110" s="72">
        <v>8.183585579999999</v>
      </c>
      <c r="Q110" s="72">
        <v>1.1287705600000002</v>
      </c>
      <c r="R110" s="72">
        <v>7.0548150199999986</v>
      </c>
    </row>
    <row r="111" spans="1:18" x14ac:dyDescent="0.2">
      <c r="A111" s="86"/>
      <c r="B111" s="82"/>
      <c r="C111" s="86"/>
      <c r="D111" s="82"/>
      <c r="E111" s="86" t="s">
        <v>2703</v>
      </c>
      <c r="F111" s="1818">
        <v>7.5076672999999996</v>
      </c>
      <c r="G111" s="1818">
        <v>0.89160000000000006</v>
      </c>
      <c r="H111" s="1818">
        <v>6.6160672999999992</v>
      </c>
      <c r="I111" s="82"/>
      <c r="J111" s="82"/>
      <c r="K111" s="1818">
        <v>8.3996668999999997</v>
      </c>
      <c r="L111" s="1818">
        <v>0.48998056916666666</v>
      </c>
      <c r="M111" s="1818">
        <v>7.9096863308333329</v>
      </c>
      <c r="O111" s="1850" t="s">
        <v>2682</v>
      </c>
      <c r="P111" s="72">
        <v>37.247599994000005</v>
      </c>
      <c r="Q111" s="72">
        <v>5.1376000079999997</v>
      </c>
      <c r="R111" s="72">
        <v>32.109999986000005</v>
      </c>
    </row>
    <row r="112" spans="1:18" x14ac:dyDescent="0.2">
      <c r="A112" s="86"/>
      <c r="B112" s="82"/>
      <c r="C112" s="86"/>
      <c r="D112" s="82"/>
      <c r="E112" s="86" t="s">
        <v>2700</v>
      </c>
      <c r="F112" s="1818">
        <v>5.8969554999999998</v>
      </c>
      <c r="G112" s="1818">
        <v>0.94320000000000004</v>
      </c>
      <c r="H112" s="1818">
        <v>4.9537554999999998</v>
      </c>
      <c r="I112" s="82"/>
      <c r="J112" s="82"/>
      <c r="K112" s="1818">
        <v>6.8404682549999984</v>
      </c>
      <c r="L112" s="1818">
        <v>0.94351286000000001</v>
      </c>
      <c r="M112" s="1818">
        <v>5.8969553949999982</v>
      </c>
      <c r="O112" s="1850" t="s">
        <v>2679</v>
      </c>
      <c r="P112" s="72">
        <v>9.3152206409999998</v>
      </c>
      <c r="Q112" s="72">
        <v>1.1644026120000002</v>
      </c>
      <c r="R112" s="72">
        <v>8.1508180289999999</v>
      </c>
    </row>
    <row r="113" spans="1:18" x14ac:dyDescent="0.2">
      <c r="A113" s="86"/>
      <c r="B113" s="82"/>
      <c r="C113" s="86"/>
      <c r="D113" s="82"/>
      <c r="E113" s="86" t="s">
        <v>2697</v>
      </c>
      <c r="F113" s="1818">
        <v>7.7961102000000002</v>
      </c>
      <c r="G113" s="1818">
        <v>1.1135999999999999</v>
      </c>
      <c r="H113" s="1818">
        <v>6.6825102000000003</v>
      </c>
      <c r="I113" s="82"/>
      <c r="J113" s="82"/>
      <c r="K113" s="1818">
        <v>8.9098401819999999</v>
      </c>
      <c r="L113" s="1818">
        <v>1.1137300240000001</v>
      </c>
      <c r="M113" s="1818">
        <v>7.7961101579999994</v>
      </c>
      <c r="O113" s="1850" t="s">
        <v>2677</v>
      </c>
      <c r="P113" s="72">
        <v>9.3045580469999987</v>
      </c>
      <c r="Q113" s="72">
        <v>1.163069804</v>
      </c>
      <c r="R113" s="72">
        <v>8.1414882429999977</v>
      </c>
    </row>
    <row r="114" spans="1:18" x14ac:dyDescent="0.2">
      <c r="A114" s="72"/>
      <c r="C114" s="86"/>
      <c r="D114" s="82"/>
      <c r="E114" s="86" t="s">
        <v>2694</v>
      </c>
      <c r="F114" s="1818">
        <v>8.6771002999999993</v>
      </c>
      <c r="G114" s="1818">
        <v>1.3879999999999999</v>
      </c>
      <c r="H114" s="1818">
        <v>7.2891002999999994</v>
      </c>
      <c r="I114" s="82"/>
      <c r="J114" s="82"/>
      <c r="K114" s="1818">
        <v>10.065436234</v>
      </c>
      <c r="L114" s="1818">
        <v>1.3883360880000002</v>
      </c>
      <c r="M114" s="1818">
        <v>8.677100145999999</v>
      </c>
      <c r="O114" s="1850" t="s">
        <v>2674</v>
      </c>
      <c r="P114" s="72">
        <v>6.2697906999999997</v>
      </c>
      <c r="Q114" s="72">
        <v>0.47023430249999998</v>
      </c>
      <c r="R114" s="72">
        <v>5.7995563975</v>
      </c>
    </row>
    <row r="115" spans="1:18" x14ac:dyDescent="0.2">
      <c r="A115" s="86"/>
      <c r="B115" s="82"/>
      <c r="C115" s="86"/>
      <c r="D115" s="82"/>
      <c r="E115" s="86" t="s">
        <v>2691</v>
      </c>
      <c r="F115" s="1818">
        <v>10.2142953</v>
      </c>
      <c r="G115" s="1818">
        <v>1.5132000000000001</v>
      </c>
      <c r="H115" s="1818">
        <v>8.7010953000000004</v>
      </c>
      <c r="I115" s="82"/>
      <c r="J115" s="82"/>
      <c r="K115" s="1818">
        <v>11.727524037</v>
      </c>
      <c r="L115" s="1818">
        <v>1.5132288839999999</v>
      </c>
      <c r="M115" s="1818">
        <v>10.214295153</v>
      </c>
      <c r="O115" s="1850" t="s">
        <v>2671</v>
      </c>
      <c r="P115" s="72">
        <v>16.283950000000001</v>
      </c>
      <c r="Q115" s="72">
        <v>0.81419750000000002</v>
      </c>
      <c r="R115" s="72">
        <v>15.4697525</v>
      </c>
    </row>
    <row r="116" spans="1:18" x14ac:dyDescent="0.2">
      <c r="A116" s="86"/>
      <c r="B116" s="82"/>
      <c r="C116" s="86"/>
      <c r="D116" s="82"/>
      <c r="E116" s="86" t="s">
        <v>2688</v>
      </c>
      <c r="F116" s="1818">
        <v>7.0548152999999996</v>
      </c>
      <c r="G116" s="1818">
        <v>1.1284000000000001</v>
      </c>
      <c r="H116" s="1818">
        <v>5.9264152999999995</v>
      </c>
      <c r="I116" s="82"/>
      <c r="J116" s="82"/>
      <c r="K116" s="1818">
        <v>8.183585579999999</v>
      </c>
      <c r="L116" s="1818">
        <v>1.1287705600000002</v>
      </c>
      <c r="M116" s="1818">
        <v>7.0548150199999986</v>
      </c>
      <c r="O116" s="1850" t="s">
        <v>2668</v>
      </c>
      <c r="P116" s="72">
        <v>7.4759999940000013</v>
      </c>
      <c r="Q116" s="72">
        <v>0.99680000800000002</v>
      </c>
      <c r="R116" s="72">
        <v>6.4791999860000011</v>
      </c>
    </row>
    <row r="117" spans="1:18" x14ac:dyDescent="0.2">
      <c r="A117" s="86"/>
      <c r="B117" s="82"/>
      <c r="C117" s="86"/>
      <c r="D117" s="82"/>
      <c r="E117" s="86" t="s">
        <v>2685</v>
      </c>
      <c r="F117" s="1818">
        <v>1.7778337</v>
      </c>
      <c r="G117" s="1818">
        <v>0</v>
      </c>
      <c r="H117" s="1818">
        <v>1.7778337</v>
      </c>
      <c r="I117" s="82"/>
      <c r="J117" s="82"/>
      <c r="K117" s="1818"/>
      <c r="L117" s="1818"/>
      <c r="M117" s="1818"/>
      <c r="O117" s="1850" t="s">
        <v>2665</v>
      </c>
      <c r="P117" s="72">
        <v>12.222555074000002</v>
      </c>
      <c r="Q117" s="72">
        <v>1.5278193680000001</v>
      </c>
      <c r="R117" s="72">
        <v>10.694735706000003</v>
      </c>
    </row>
    <row r="118" spans="1:18" x14ac:dyDescent="0.2">
      <c r="A118" s="86"/>
      <c r="B118" s="82"/>
      <c r="C118" s="86"/>
      <c r="D118" s="82"/>
      <c r="E118" s="86" t="s">
        <v>2682</v>
      </c>
      <c r="F118" s="1818">
        <v>32.11</v>
      </c>
      <c r="G118" s="1818">
        <v>5.1375999999999999</v>
      </c>
      <c r="H118" s="1818">
        <v>26.9724</v>
      </c>
      <c r="I118" s="82"/>
      <c r="J118" s="82"/>
      <c r="K118" s="1818">
        <v>37.247599994000005</v>
      </c>
      <c r="L118" s="1818">
        <v>5.1376000079999997</v>
      </c>
      <c r="M118" s="1818">
        <v>32.109999986000005</v>
      </c>
      <c r="O118" s="1850" t="s">
        <v>2663</v>
      </c>
      <c r="P118" s="72">
        <v>3.7926575999999997E-2</v>
      </c>
      <c r="Q118" s="72">
        <v>5.2312319999999997E-3</v>
      </c>
      <c r="R118" s="72">
        <v>3.2695343999999994E-2</v>
      </c>
    </row>
    <row r="119" spans="1:18" x14ac:dyDescent="0.2">
      <c r="A119" s="86"/>
      <c r="B119" s="82"/>
      <c r="C119" s="86"/>
      <c r="D119" s="82"/>
      <c r="E119" s="86" t="s">
        <v>2679</v>
      </c>
      <c r="F119" s="1818">
        <v>8.1508176999999993</v>
      </c>
      <c r="G119" s="1818">
        <v>1.1644000000000001</v>
      </c>
      <c r="H119" s="1818">
        <v>6.9864176999999987</v>
      </c>
      <c r="I119" s="82"/>
      <c r="J119" s="82"/>
      <c r="K119" s="1818">
        <v>9.3152206409999998</v>
      </c>
      <c r="L119" s="1818">
        <v>1.1644026120000002</v>
      </c>
      <c r="M119" s="1818">
        <v>8.1508180289999999</v>
      </c>
      <c r="O119" s="1850" t="s">
        <v>2660</v>
      </c>
      <c r="P119" s="72">
        <v>7.1223995909999998</v>
      </c>
      <c r="Q119" s="72">
        <v>0.98240001200000027</v>
      </c>
      <c r="R119" s="72">
        <v>6.1399995789999995</v>
      </c>
    </row>
    <row r="120" spans="1:18" x14ac:dyDescent="0.2">
      <c r="A120" s="86"/>
      <c r="B120" s="82"/>
      <c r="C120" s="86"/>
      <c r="D120" s="82"/>
      <c r="E120" s="86" t="s">
        <v>2677</v>
      </c>
      <c r="F120" s="1818">
        <v>8.1414878999999996</v>
      </c>
      <c r="G120" s="1818">
        <v>1.1630400000000001</v>
      </c>
      <c r="H120" s="1818">
        <v>6.978447899999999</v>
      </c>
      <c r="I120" s="82"/>
      <c r="J120" s="82"/>
      <c r="K120" s="1818">
        <v>9.3045580469999987</v>
      </c>
      <c r="L120" s="1818">
        <v>1.163069804</v>
      </c>
      <c r="M120" s="1818">
        <v>8.1414882429999977</v>
      </c>
      <c r="O120" s="1850" t="s">
        <v>2657</v>
      </c>
      <c r="P120" s="72">
        <v>19.801876118999996</v>
      </c>
      <c r="Q120" s="72">
        <v>2.4752345079999998</v>
      </c>
      <c r="R120" s="72">
        <v>17.326641610999996</v>
      </c>
    </row>
    <row r="121" spans="1:18" x14ac:dyDescent="0.2">
      <c r="A121" s="86"/>
      <c r="B121" s="82"/>
      <c r="C121" s="86"/>
      <c r="D121" s="82"/>
      <c r="E121" s="86" t="s">
        <v>2674</v>
      </c>
      <c r="F121" s="1818">
        <v>8.3141943999999999</v>
      </c>
      <c r="G121" s="1818">
        <v>0.62356459259999997</v>
      </c>
      <c r="H121" s="1818">
        <v>7.6906298073999997</v>
      </c>
      <c r="I121" s="82"/>
      <c r="J121" s="82"/>
      <c r="K121" s="1818">
        <v>6.2697906999999997</v>
      </c>
      <c r="L121" s="1818">
        <v>0.47023430249999998</v>
      </c>
      <c r="M121" s="1818">
        <v>5.7995563975</v>
      </c>
      <c r="O121" s="1850" t="s">
        <v>2654</v>
      </c>
      <c r="P121" s="72">
        <v>8.3018000000000001</v>
      </c>
      <c r="Q121" s="72">
        <v>1.0711999999999999</v>
      </c>
      <c r="R121" s="72">
        <v>7.2305999999999999</v>
      </c>
    </row>
    <row r="122" spans="1:18" x14ac:dyDescent="0.2">
      <c r="A122" s="86"/>
      <c r="B122" s="82"/>
      <c r="C122" s="86"/>
      <c r="D122" s="82"/>
      <c r="E122" s="86" t="s">
        <v>2671</v>
      </c>
      <c r="F122" s="1818">
        <v>16.283950000000001</v>
      </c>
      <c r="G122" s="1818">
        <v>0</v>
      </c>
      <c r="H122" s="1818">
        <v>16.283950000000001</v>
      </c>
      <c r="I122" s="82"/>
      <c r="J122" s="82"/>
      <c r="K122" s="1818">
        <v>16.283950000000001</v>
      </c>
      <c r="L122" s="1818">
        <v>0.81419750000000002</v>
      </c>
      <c r="M122" s="1818">
        <v>15.4697525</v>
      </c>
      <c r="O122" s="1850" t="s">
        <v>2651</v>
      </c>
      <c r="P122" s="72">
        <v>6.7799999969999982</v>
      </c>
      <c r="Q122" s="72">
        <v>0.90400000400000013</v>
      </c>
      <c r="R122" s="72">
        <v>5.875999992999998</v>
      </c>
    </row>
    <row r="123" spans="1:18" x14ac:dyDescent="0.2">
      <c r="A123" s="86"/>
      <c r="B123" s="82"/>
      <c r="C123" s="86"/>
      <c r="D123" s="82"/>
      <c r="E123" s="86" t="s">
        <v>2668</v>
      </c>
      <c r="F123" s="1818">
        <v>6.4791999999999996</v>
      </c>
      <c r="G123" s="1818">
        <v>0.99680000000000002</v>
      </c>
      <c r="H123" s="1818">
        <v>5.4823999999999993</v>
      </c>
      <c r="I123" s="82"/>
      <c r="J123" s="82"/>
      <c r="K123" s="1818">
        <v>7.4759999940000013</v>
      </c>
      <c r="L123" s="1818">
        <v>0.99680000800000002</v>
      </c>
      <c r="M123" s="1818">
        <v>6.4791999860000011</v>
      </c>
      <c r="O123" s="1850" t="s">
        <v>2648</v>
      </c>
      <c r="P123" s="72">
        <v>6.3944997969999982</v>
      </c>
      <c r="Q123" s="72">
        <v>0.88200000399999989</v>
      </c>
      <c r="R123" s="72">
        <v>5.5124997929999981</v>
      </c>
    </row>
    <row r="124" spans="1:18" x14ac:dyDescent="0.2">
      <c r="A124" s="86"/>
      <c r="B124" s="82"/>
      <c r="C124" s="86"/>
      <c r="D124" s="82"/>
      <c r="E124" s="86" t="s">
        <v>2665</v>
      </c>
      <c r="F124" s="1818">
        <v>10.694736000000001</v>
      </c>
      <c r="G124" s="1818">
        <v>1.5276000000000001</v>
      </c>
      <c r="H124" s="1818">
        <v>9.1671360000000011</v>
      </c>
      <c r="I124" s="82"/>
      <c r="J124" s="82"/>
      <c r="K124" s="1818">
        <v>12.222555074000002</v>
      </c>
      <c r="L124" s="1818">
        <v>1.5278193680000001</v>
      </c>
      <c r="M124" s="1818">
        <v>10.694735706000003</v>
      </c>
      <c r="O124" s="1850" t="s">
        <v>2645</v>
      </c>
      <c r="P124" s="72">
        <v>19.759889661999999</v>
      </c>
      <c r="Q124" s="72">
        <v>2.4699862600000007</v>
      </c>
      <c r="R124" s="72">
        <v>17.289903402</v>
      </c>
    </row>
    <row r="125" spans="1:18" x14ac:dyDescent="0.2">
      <c r="A125" s="86"/>
      <c r="B125" s="82"/>
      <c r="C125" s="86"/>
      <c r="D125" s="82"/>
      <c r="E125" s="86" t="s">
        <v>2663</v>
      </c>
      <c r="F125" s="1818">
        <v>3.2695399999999999E-2</v>
      </c>
      <c r="G125" s="1818">
        <v>5.2312000000000001E-3</v>
      </c>
      <c r="H125" s="1818">
        <v>2.7464200000000001E-2</v>
      </c>
      <c r="I125" s="82"/>
      <c r="J125" s="82"/>
      <c r="K125" s="1818">
        <v>3.7926575999999997E-2</v>
      </c>
      <c r="L125" s="1818">
        <v>5.2312319999999997E-3</v>
      </c>
      <c r="M125" s="1818">
        <v>3.2695343999999994E-2</v>
      </c>
      <c r="O125" s="1850" t="s">
        <v>2642</v>
      </c>
      <c r="P125" s="72">
        <v>10.7584</v>
      </c>
      <c r="Q125" s="72">
        <v>1.3448</v>
      </c>
      <c r="R125" s="72">
        <v>9.4136000000000006</v>
      </c>
    </row>
    <row r="126" spans="1:18" x14ac:dyDescent="0.2">
      <c r="A126" s="86"/>
      <c r="B126" s="82"/>
      <c r="C126" s="86"/>
      <c r="D126" s="82"/>
      <c r="E126" s="86" t="s">
        <v>2660</v>
      </c>
      <c r="F126" s="1818">
        <v>6.1399996000000003</v>
      </c>
      <c r="G126" s="1818">
        <v>0.98240000000000005</v>
      </c>
      <c r="H126" s="1818">
        <v>5.1575996000000002</v>
      </c>
      <c r="I126" s="82"/>
      <c r="J126" s="82"/>
      <c r="K126" s="1818">
        <v>7.1223995909999998</v>
      </c>
      <c r="L126" s="1818">
        <v>0.98240001200000027</v>
      </c>
      <c r="M126" s="1818">
        <v>6.1399995789999995</v>
      </c>
      <c r="O126" s="1850" t="s">
        <v>2639</v>
      </c>
      <c r="P126" s="72">
        <v>10.795225472</v>
      </c>
      <c r="Q126" s="72">
        <v>1.233740056</v>
      </c>
      <c r="R126" s="72">
        <v>9.561485416</v>
      </c>
    </row>
    <row r="127" spans="1:18" x14ac:dyDescent="0.2">
      <c r="A127" s="86"/>
      <c r="B127" s="82"/>
      <c r="C127" s="86"/>
      <c r="D127" s="82"/>
      <c r="E127" s="86" t="s">
        <v>2657</v>
      </c>
      <c r="F127" s="1818">
        <v>17.326641800000001</v>
      </c>
      <c r="G127" s="1818">
        <v>2.4752000000000001</v>
      </c>
      <c r="H127" s="1818">
        <v>14.8514418</v>
      </c>
      <c r="I127" s="82"/>
      <c r="J127" s="82"/>
      <c r="K127" s="1818">
        <v>19.801876118999996</v>
      </c>
      <c r="L127" s="1818">
        <v>2.4752345079999998</v>
      </c>
      <c r="M127" s="1818">
        <v>17.326641610999996</v>
      </c>
      <c r="O127" s="1850" t="s">
        <v>2636</v>
      </c>
      <c r="P127" s="72">
        <v>65.932272401000006</v>
      </c>
      <c r="Q127" s="72">
        <v>7.5721074240000004</v>
      </c>
      <c r="R127" s="72">
        <v>58.360164977000004</v>
      </c>
    </row>
    <row r="128" spans="1:18" x14ac:dyDescent="0.2">
      <c r="A128" s="86"/>
      <c r="B128" s="82"/>
      <c r="C128" s="86"/>
      <c r="D128" s="82"/>
      <c r="E128" s="86" t="s">
        <v>2654</v>
      </c>
      <c r="F128" s="1818">
        <v>7.2305999999999999</v>
      </c>
      <c r="G128" s="1818">
        <v>1.0711999999999999</v>
      </c>
      <c r="H128" s="1818">
        <v>6.1593999999999998</v>
      </c>
      <c r="I128" s="82"/>
      <c r="J128" s="82"/>
      <c r="K128" s="1818">
        <v>8.3018000000000001</v>
      </c>
      <c r="L128" s="1818">
        <v>1.0711999999999999</v>
      </c>
      <c r="M128" s="1818">
        <v>7.2305999999999999</v>
      </c>
      <c r="O128" s="1850" t="s">
        <v>2633</v>
      </c>
      <c r="P128" s="72">
        <v>12.434544713000003</v>
      </c>
      <c r="Q128" s="72">
        <v>1.5543181159999999</v>
      </c>
      <c r="R128" s="72">
        <v>10.880226597000004</v>
      </c>
    </row>
    <row r="129" spans="1:18" x14ac:dyDescent="0.2">
      <c r="A129" s="86"/>
      <c r="B129" s="82"/>
      <c r="C129" s="86"/>
      <c r="D129" s="82"/>
      <c r="E129" s="86" t="s">
        <v>2651</v>
      </c>
      <c r="F129" s="1818">
        <v>5.8760000000000003</v>
      </c>
      <c r="G129" s="1818">
        <v>0.90400000000000003</v>
      </c>
      <c r="H129" s="1818">
        <v>4.9720000000000004</v>
      </c>
      <c r="I129" s="82"/>
      <c r="J129" s="82"/>
      <c r="K129" s="1818">
        <v>6.7799999969999982</v>
      </c>
      <c r="L129" s="1818">
        <v>0.90400000400000013</v>
      </c>
      <c r="M129" s="1818">
        <v>5.875999992999998</v>
      </c>
      <c r="O129" s="1850" t="s">
        <v>2630</v>
      </c>
      <c r="P129" s="72">
        <v>7.3727999940000011</v>
      </c>
      <c r="Q129" s="72">
        <v>0.92160000799999997</v>
      </c>
      <c r="R129" s="72">
        <v>6.4511999860000007</v>
      </c>
    </row>
    <row r="130" spans="1:18" x14ac:dyDescent="0.2">
      <c r="A130" s="86"/>
      <c r="B130" s="82"/>
      <c r="C130" s="86"/>
      <c r="D130" s="82"/>
      <c r="E130" s="86" t="s">
        <v>2648</v>
      </c>
      <c r="F130" s="1818">
        <v>5.5124997999999996</v>
      </c>
      <c r="G130" s="1818">
        <v>0.88200000000000001</v>
      </c>
      <c r="H130" s="1818">
        <v>4.6304997999999999</v>
      </c>
      <c r="I130" s="82"/>
      <c r="J130" s="82"/>
      <c r="K130" s="1818">
        <v>6.3944997969999982</v>
      </c>
      <c r="L130" s="1818">
        <v>0.88200000399999989</v>
      </c>
      <c r="M130" s="1818">
        <v>5.5124997929999981</v>
      </c>
      <c r="O130" s="1850" t="s">
        <v>2627</v>
      </c>
      <c r="P130" s="72">
        <v>6.2581366679999988</v>
      </c>
      <c r="Q130" s="72">
        <v>0.78226712399999998</v>
      </c>
      <c r="R130" s="72">
        <v>5.4758695439999991</v>
      </c>
    </row>
    <row r="131" spans="1:18" x14ac:dyDescent="0.2">
      <c r="A131" s="86"/>
      <c r="B131" s="82"/>
      <c r="C131" s="86"/>
      <c r="D131" s="82"/>
      <c r="E131" s="86" t="s">
        <v>2645</v>
      </c>
      <c r="F131" s="1818">
        <v>17.289903200000001</v>
      </c>
      <c r="G131" s="1818">
        <v>2.4695999999999998</v>
      </c>
      <c r="H131" s="1818">
        <v>14.820303200000001</v>
      </c>
      <c r="I131" s="82"/>
      <c r="J131" s="82"/>
      <c r="K131" s="1818">
        <v>19.759889661999999</v>
      </c>
      <c r="L131" s="1818">
        <v>2.4699862600000007</v>
      </c>
      <c r="M131" s="1818">
        <v>17.289903402</v>
      </c>
      <c r="O131" s="1850" t="s">
        <v>2624</v>
      </c>
      <c r="P131" s="72">
        <v>7.4143799510000008</v>
      </c>
      <c r="Q131" s="72">
        <v>0.89871273200000001</v>
      </c>
      <c r="R131" s="72">
        <v>6.5156672190000009</v>
      </c>
    </row>
    <row r="132" spans="1:18" x14ac:dyDescent="0.2">
      <c r="A132" s="86"/>
      <c r="B132" s="82"/>
      <c r="C132" s="86"/>
      <c r="D132" s="82"/>
      <c r="E132" s="86" t="s">
        <v>2642</v>
      </c>
      <c r="F132" s="1818">
        <v>9.4136000000000006</v>
      </c>
      <c r="G132" s="1818">
        <v>1.3448</v>
      </c>
      <c r="H132" s="1818">
        <v>8.0688000000000013</v>
      </c>
      <c r="I132" s="82"/>
      <c r="J132" s="82"/>
      <c r="K132" s="1818">
        <v>10.7584</v>
      </c>
      <c r="L132" s="1818">
        <v>1.3448</v>
      </c>
      <c r="M132" s="1818">
        <v>9.4136000000000006</v>
      </c>
      <c r="O132" s="1850" t="s">
        <v>2621</v>
      </c>
      <c r="P132" s="72">
        <v>15.3576</v>
      </c>
      <c r="Q132" s="72">
        <v>1.1518200000000001</v>
      </c>
      <c r="R132" s="72">
        <v>14.205779999999999</v>
      </c>
    </row>
    <row r="133" spans="1:18" x14ac:dyDescent="0.2">
      <c r="A133" s="86"/>
      <c r="B133" s="82"/>
      <c r="C133" s="86"/>
      <c r="D133" s="82"/>
      <c r="E133" s="86" t="s">
        <v>2639</v>
      </c>
      <c r="F133" s="1818">
        <v>9.5614854999999999</v>
      </c>
      <c r="G133" s="1818">
        <v>1.2336</v>
      </c>
      <c r="H133" s="1818">
        <v>8.3278855000000007</v>
      </c>
      <c r="I133" s="82"/>
      <c r="J133" s="82"/>
      <c r="K133" s="1818">
        <v>10.795225472</v>
      </c>
      <c r="L133" s="1818">
        <v>1.233740056</v>
      </c>
      <c r="M133" s="1818">
        <v>9.561485416</v>
      </c>
      <c r="O133" s="1850" t="s">
        <v>2618</v>
      </c>
      <c r="P133" s="72">
        <v>13.3927598</v>
      </c>
      <c r="Q133" s="72">
        <v>0.44642532666666668</v>
      </c>
      <c r="R133" s="72">
        <v>12.946334473333334</v>
      </c>
    </row>
    <row r="134" spans="1:18" x14ac:dyDescent="0.2">
      <c r="A134" s="86"/>
      <c r="B134" s="82"/>
      <c r="C134" s="86"/>
      <c r="D134" s="82"/>
      <c r="E134" s="86" t="s">
        <v>2636</v>
      </c>
      <c r="F134" s="1818">
        <v>57.690738400000001</v>
      </c>
      <c r="G134" s="1818">
        <v>8.24</v>
      </c>
      <c r="H134" s="1818">
        <v>49.450738399999999</v>
      </c>
      <c r="I134" s="82"/>
      <c r="J134" s="82"/>
      <c r="K134" s="1818">
        <v>65.932272401000006</v>
      </c>
      <c r="L134" s="1818">
        <v>7.5721074240000004</v>
      </c>
      <c r="M134" s="1818">
        <v>58.360164977000004</v>
      </c>
      <c r="O134" s="1850" t="s">
        <v>2615</v>
      </c>
      <c r="P134" s="72">
        <v>7.420248</v>
      </c>
      <c r="Q134" s="72">
        <v>0</v>
      </c>
      <c r="R134" s="72">
        <v>7.420248</v>
      </c>
    </row>
    <row r="135" spans="1:18" x14ac:dyDescent="0.2">
      <c r="A135" s="86"/>
      <c r="B135" s="82"/>
      <c r="C135" s="86"/>
      <c r="D135" s="82"/>
      <c r="E135" s="86" t="s">
        <v>2633</v>
      </c>
      <c r="F135" s="1818">
        <v>10.880226800000001</v>
      </c>
      <c r="G135" s="1818">
        <v>1.554</v>
      </c>
      <c r="H135" s="1818">
        <v>9.3262268000000006</v>
      </c>
      <c r="I135" s="82"/>
      <c r="J135" s="82"/>
      <c r="K135" s="1818">
        <v>12.434544713000003</v>
      </c>
      <c r="L135" s="1818">
        <v>1.5543181159999999</v>
      </c>
      <c r="M135" s="1818">
        <v>10.880226597000004</v>
      </c>
      <c r="O135" s="1850" t="s">
        <v>2609</v>
      </c>
      <c r="P135" s="132">
        <v>9.0713527020000004</v>
      </c>
      <c r="Q135" s="72">
        <v>0.79485861199999996</v>
      </c>
      <c r="R135" s="72">
        <v>8.2764940899999999</v>
      </c>
    </row>
    <row r="136" spans="1:18" x14ac:dyDescent="0.2">
      <c r="A136" s="86"/>
      <c r="B136" s="82"/>
      <c r="C136" s="86"/>
      <c r="D136" s="82"/>
      <c r="E136" s="86" t="s">
        <v>2630</v>
      </c>
      <c r="F136" s="1818">
        <v>6.4512</v>
      </c>
      <c r="G136" s="1818">
        <v>0.92159999999999997</v>
      </c>
      <c r="H136" s="1818">
        <v>5.5296000000000003</v>
      </c>
      <c r="I136" s="82"/>
      <c r="J136" s="82"/>
      <c r="K136" s="1818">
        <v>7.3727999940000011</v>
      </c>
      <c r="L136" s="1818">
        <v>0.92160000799999997</v>
      </c>
      <c r="M136" s="1818">
        <v>6.4511999860000007</v>
      </c>
      <c r="O136" s="1850" t="s">
        <v>2606</v>
      </c>
      <c r="P136" s="72">
        <v>7.077</v>
      </c>
      <c r="Q136" s="72">
        <v>0.80879999999999996</v>
      </c>
      <c r="R136" s="72">
        <v>6.2682000000000002</v>
      </c>
    </row>
    <row r="137" spans="1:18" x14ac:dyDescent="0.2">
      <c r="A137" s="86"/>
      <c r="B137" s="82"/>
      <c r="C137" s="86"/>
      <c r="D137" s="82"/>
      <c r="E137" s="86" t="s">
        <v>2627</v>
      </c>
      <c r="F137" s="1818">
        <v>5.4758693999999997</v>
      </c>
      <c r="G137" s="1818">
        <v>0.78200000000000003</v>
      </c>
      <c r="H137" s="1818">
        <v>4.6938693999999996</v>
      </c>
      <c r="I137" s="82"/>
      <c r="J137" s="82"/>
      <c r="K137" s="1818">
        <v>6.2581366679999988</v>
      </c>
      <c r="L137" s="1818">
        <v>0.78226712399999998</v>
      </c>
      <c r="M137" s="1818">
        <v>5.4758695439999991</v>
      </c>
      <c r="O137" s="1850" t="s">
        <v>2603</v>
      </c>
      <c r="P137" s="72">
        <v>8.1424112569999991</v>
      </c>
      <c r="Q137" s="72">
        <v>0.76411009200000002</v>
      </c>
      <c r="R137" s="72">
        <v>7.378301164999999</v>
      </c>
    </row>
    <row r="138" spans="1:18" x14ac:dyDescent="0.2">
      <c r="A138" s="86"/>
      <c r="B138" s="82"/>
      <c r="C138" s="86"/>
      <c r="D138" s="82"/>
      <c r="E138" s="86" t="s">
        <v>2624</v>
      </c>
      <c r="F138" s="1818">
        <v>6.5156670999999999</v>
      </c>
      <c r="G138" s="1818">
        <v>0.89839999999999998</v>
      </c>
      <c r="H138" s="1818">
        <v>5.6172671000000003</v>
      </c>
      <c r="I138" s="82"/>
      <c r="J138" s="82"/>
      <c r="K138" s="1818">
        <v>7.4143799510000008</v>
      </c>
      <c r="L138" s="1818">
        <v>0.89871273200000001</v>
      </c>
      <c r="M138" s="1818">
        <v>6.5156672190000009</v>
      </c>
      <c r="O138" s="1850" t="s">
        <v>2600</v>
      </c>
      <c r="P138" s="72">
        <v>7.2876124000000004</v>
      </c>
      <c r="Q138" s="72">
        <v>0.72876123999999998</v>
      </c>
      <c r="R138" s="72">
        <v>6.5588511600000006</v>
      </c>
    </row>
    <row r="139" spans="1:18" x14ac:dyDescent="0.2">
      <c r="A139" s="86"/>
      <c r="B139" s="82"/>
      <c r="C139" s="86"/>
      <c r="D139" s="82"/>
      <c r="E139" s="86" t="s">
        <v>2621</v>
      </c>
      <c r="F139" s="1818">
        <v>14.205780000000001</v>
      </c>
      <c r="G139" s="1818">
        <v>1.1511</v>
      </c>
      <c r="H139" s="1818">
        <v>13.054680000000001</v>
      </c>
      <c r="I139" s="82"/>
      <c r="J139" s="82"/>
      <c r="K139" s="1818">
        <v>15.3576</v>
      </c>
      <c r="L139" s="1818">
        <v>1.1518200000000001</v>
      </c>
      <c r="M139" s="1818">
        <v>14.205779999999999</v>
      </c>
      <c r="O139" s="1850" t="s">
        <v>2597</v>
      </c>
      <c r="P139" s="72">
        <v>5.9225670780000002</v>
      </c>
      <c r="Q139" s="72">
        <v>0.61414524400000003</v>
      </c>
      <c r="R139" s="72">
        <v>5.3084218339999998</v>
      </c>
    </row>
    <row r="140" spans="1:18" x14ac:dyDescent="0.2">
      <c r="A140" s="86"/>
      <c r="B140" s="82"/>
      <c r="C140" s="86"/>
      <c r="D140" s="82"/>
      <c r="E140" s="86" t="s">
        <v>2618</v>
      </c>
      <c r="F140" s="1818">
        <v>11.645877799999999</v>
      </c>
      <c r="G140" s="1818">
        <v>1.746</v>
      </c>
      <c r="H140" s="1818">
        <v>9.8998777999999987</v>
      </c>
      <c r="I140" s="82"/>
      <c r="J140" s="82"/>
      <c r="K140" s="1818">
        <v>13.3927598</v>
      </c>
      <c r="L140" s="1818">
        <v>0.44642532666666668</v>
      </c>
      <c r="M140" s="1818">
        <v>12.946334473333334</v>
      </c>
      <c r="O140" s="1850" t="s">
        <v>2594</v>
      </c>
      <c r="P140" s="72">
        <v>1.7339999940000002</v>
      </c>
      <c r="Q140" s="72">
        <v>0.20400000800000001</v>
      </c>
      <c r="R140" s="72">
        <v>1.5299999860000002</v>
      </c>
    </row>
    <row r="141" spans="1:18" x14ac:dyDescent="0.2">
      <c r="A141" s="86"/>
      <c r="B141" s="82"/>
      <c r="C141" s="86"/>
      <c r="D141" s="82"/>
      <c r="E141" s="86" t="s">
        <v>2615</v>
      </c>
      <c r="F141" s="1818">
        <v>7.420248</v>
      </c>
      <c r="G141" s="1818">
        <v>0</v>
      </c>
      <c r="H141" s="1818">
        <v>7.420248</v>
      </c>
      <c r="I141" s="82"/>
      <c r="J141" s="82"/>
      <c r="K141" s="1818">
        <v>7.420248</v>
      </c>
      <c r="L141" s="1818">
        <v>0</v>
      </c>
      <c r="M141" s="1818">
        <v>7.420248</v>
      </c>
      <c r="O141" s="1850" t="s">
        <v>2591</v>
      </c>
      <c r="P141" s="72">
        <v>7.5960000000000001</v>
      </c>
      <c r="Q141" s="72">
        <v>0.75960000000000005</v>
      </c>
      <c r="R141" s="72">
        <v>6.8364000000000003</v>
      </c>
    </row>
    <row r="142" spans="1:18" x14ac:dyDescent="0.2">
      <c r="A142" s="86"/>
      <c r="B142" s="82"/>
      <c r="C142" s="86"/>
      <c r="D142" s="82"/>
      <c r="E142" s="86" t="s">
        <v>2612</v>
      </c>
      <c r="F142" s="1818">
        <v>0</v>
      </c>
      <c r="G142" s="1818">
        <v>0</v>
      </c>
      <c r="H142" s="1818">
        <v>0</v>
      </c>
      <c r="I142" s="82"/>
      <c r="J142" s="82"/>
      <c r="K142" s="1818"/>
      <c r="L142" s="1818"/>
      <c r="M142" s="1818"/>
      <c r="O142" s="1850" t="s">
        <v>2587</v>
      </c>
      <c r="P142" s="72">
        <v>10.527814985000001</v>
      </c>
      <c r="Q142" s="72">
        <v>1.2760988199999999</v>
      </c>
      <c r="R142" s="72">
        <v>9.2517161650000013</v>
      </c>
    </row>
    <row r="143" spans="1:18" x14ac:dyDescent="0.2">
      <c r="A143" s="86"/>
      <c r="B143" s="82"/>
      <c r="C143" s="86"/>
      <c r="D143" s="82"/>
      <c r="E143" s="86" t="s">
        <v>2609</v>
      </c>
      <c r="F143" s="1818">
        <v>8.0041344999999993</v>
      </c>
      <c r="G143" s="1818">
        <v>1.0671999999999999</v>
      </c>
      <c r="H143" s="1818">
        <v>6.9369344999999996</v>
      </c>
      <c r="I143" s="82"/>
      <c r="J143" s="82"/>
      <c r="K143" s="1818">
        <v>9.0713527020000004</v>
      </c>
      <c r="L143" s="1818">
        <v>0.79485861199999996</v>
      </c>
      <c r="M143" s="1818">
        <v>8.2764940899999999</v>
      </c>
      <c r="O143" s="1850" t="s">
        <v>2584</v>
      </c>
      <c r="P143" s="72">
        <v>9.0939999999999994</v>
      </c>
      <c r="Q143" s="72">
        <v>0.45469999999999999</v>
      </c>
      <c r="R143" s="72">
        <v>8.6392999999999986</v>
      </c>
    </row>
    <row r="144" spans="1:18" x14ac:dyDescent="0.2">
      <c r="A144" s="86"/>
      <c r="B144" s="82"/>
      <c r="C144" s="86"/>
      <c r="D144" s="82"/>
      <c r="E144" s="86" t="s">
        <v>2606</v>
      </c>
      <c r="F144" s="1818">
        <v>6.2682000000000002</v>
      </c>
      <c r="G144" s="1818">
        <v>0.80879999999999996</v>
      </c>
      <c r="H144" s="1818">
        <v>5.4594000000000005</v>
      </c>
      <c r="I144" s="82"/>
      <c r="J144" s="82"/>
      <c r="K144" s="1818">
        <v>7.077</v>
      </c>
      <c r="L144" s="1818">
        <v>0.80879999999999996</v>
      </c>
      <c r="M144" s="1818">
        <v>6.2682000000000002</v>
      </c>
      <c r="O144" s="1850" t="s">
        <v>2581</v>
      </c>
      <c r="P144" s="72">
        <v>9.9644162999999999</v>
      </c>
      <c r="Q144" s="72">
        <v>0.99644162999999986</v>
      </c>
      <c r="R144" s="72">
        <v>8.9679746700000003</v>
      </c>
    </row>
    <row r="145" spans="1:18" x14ac:dyDescent="0.2">
      <c r="A145" s="86"/>
      <c r="B145" s="82"/>
      <c r="C145" s="86"/>
      <c r="D145" s="82"/>
      <c r="E145" s="86" t="s">
        <v>2603</v>
      </c>
      <c r="F145" s="1818">
        <v>7.2118501000000004</v>
      </c>
      <c r="G145" s="1818">
        <v>0.9304</v>
      </c>
      <c r="H145" s="1818">
        <v>6.2814501000000007</v>
      </c>
      <c r="I145" s="82"/>
      <c r="J145" s="82"/>
      <c r="K145" s="1818">
        <v>8.1424112569999991</v>
      </c>
      <c r="L145" s="1818">
        <v>0.76411009200000002</v>
      </c>
      <c r="M145" s="1818">
        <v>7.378301164999999</v>
      </c>
      <c r="O145" s="1850" t="s">
        <v>2578</v>
      </c>
      <c r="P145" s="72">
        <v>13.536249998000002</v>
      </c>
      <c r="Q145" s="72">
        <v>1.5470000039999998</v>
      </c>
      <c r="R145" s="72">
        <v>11.989249994000003</v>
      </c>
    </row>
    <row r="146" spans="1:18" x14ac:dyDescent="0.2">
      <c r="A146" s="86"/>
      <c r="B146" s="82"/>
      <c r="C146" s="86"/>
      <c r="D146" s="82"/>
      <c r="E146" s="86" t="s">
        <v>2600</v>
      </c>
      <c r="F146" s="1818">
        <v>6.7874227579999999</v>
      </c>
      <c r="G146" s="1818">
        <v>0.80640000000000001</v>
      </c>
      <c r="H146" s="1818">
        <v>5.9810227579999999</v>
      </c>
      <c r="I146" s="82"/>
      <c r="J146" s="82"/>
      <c r="K146" s="1818">
        <v>7.2876124000000004</v>
      </c>
      <c r="L146" s="1818">
        <v>0.72876123999999998</v>
      </c>
      <c r="M146" s="1818">
        <v>6.5588511600000006</v>
      </c>
      <c r="O146" s="1850" t="s">
        <v>2575</v>
      </c>
      <c r="P146" s="72">
        <v>8.6173044999999995</v>
      </c>
      <c r="Q146" s="72">
        <v>0</v>
      </c>
      <c r="R146" s="72">
        <v>8.6173044999999995</v>
      </c>
    </row>
    <row r="147" spans="1:18" x14ac:dyDescent="0.2">
      <c r="A147" s="86"/>
      <c r="B147" s="82"/>
      <c r="C147" s="86"/>
      <c r="D147" s="82"/>
      <c r="E147" s="86" t="s">
        <v>2597</v>
      </c>
      <c r="F147" s="1818">
        <v>5.2457022999999996</v>
      </c>
      <c r="G147" s="1818">
        <v>0.67679999999999996</v>
      </c>
      <c r="H147" s="1818">
        <v>4.5689022999999995</v>
      </c>
      <c r="I147" s="82"/>
      <c r="J147" s="82"/>
      <c r="K147" s="1818">
        <v>5.9225670780000002</v>
      </c>
      <c r="L147" s="1818">
        <v>0.61414524400000003</v>
      </c>
      <c r="M147" s="1818">
        <v>5.3084218339999998</v>
      </c>
      <c r="O147" s="1850" t="s">
        <v>2572</v>
      </c>
      <c r="P147" s="72">
        <v>17.277994700000001</v>
      </c>
      <c r="Q147" s="72">
        <v>0</v>
      </c>
      <c r="R147" s="72">
        <v>17.277994700000001</v>
      </c>
    </row>
    <row r="148" spans="1:18" x14ac:dyDescent="0.2">
      <c r="A148" s="86"/>
      <c r="B148" s="82"/>
      <c r="C148" s="86"/>
      <c r="D148" s="82"/>
      <c r="E148" s="86" t="s">
        <v>2594</v>
      </c>
      <c r="F148" s="1818">
        <v>1.53</v>
      </c>
      <c r="G148" s="1818">
        <v>0.2</v>
      </c>
      <c r="H148" s="1818">
        <v>1.33</v>
      </c>
      <c r="I148" s="82"/>
      <c r="J148" s="82"/>
      <c r="K148" s="1818">
        <v>1.7339999940000002</v>
      </c>
      <c r="L148" s="1818">
        <v>0.20400000800000001</v>
      </c>
      <c r="M148" s="1818">
        <v>1.5299999860000002</v>
      </c>
      <c r="O148" s="1181" t="s">
        <v>2569</v>
      </c>
      <c r="P148" s="72">
        <v>4.3018941999999996</v>
      </c>
      <c r="Q148" s="72">
        <v>0.43018941999999999</v>
      </c>
      <c r="R148" s="72">
        <v>3.8717047799999995</v>
      </c>
    </row>
    <row r="149" spans="1:18" x14ac:dyDescent="0.2">
      <c r="A149" s="86"/>
      <c r="B149" s="82"/>
      <c r="C149" s="86"/>
      <c r="D149" s="82"/>
      <c r="E149" s="86" t="s">
        <v>2591</v>
      </c>
      <c r="F149" s="1818">
        <v>6.7519999999999998</v>
      </c>
      <c r="G149" s="1818">
        <v>0.84399999999999997</v>
      </c>
      <c r="H149" s="1818">
        <v>5.9079999999999995</v>
      </c>
      <c r="I149" s="82"/>
      <c r="J149" s="82"/>
      <c r="K149" s="1818">
        <v>7.5960000000000001</v>
      </c>
      <c r="L149" s="1818">
        <v>0.75960000000000005</v>
      </c>
      <c r="M149" s="1818">
        <v>6.8364000000000003</v>
      </c>
      <c r="O149" s="1181" t="s">
        <v>2566</v>
      </c>
      <c r="P149" s="72">
        <v>19.552467100000001</v>
      </c>
      <c r="Q149" s="72">
        <v>2.1927995999999998</v>
      </c>
      <c r="R149" s="72">
        <v>17.3596675</v>
      </c>
    </row>
    <row r="150" spans="1:18" x14ac:dyDescent="0.2">
      <c r="A150" s="86"/>
      <c r="B150" s="82"/>
      <c r="C150" s="86"/>
      <c r="D150" s="82"/>
      <c r="E150" s="86" t="s">
        <v>2587</v>
      </c>
      <c r="F150" s="1818">
        <v>9.2517163999999994</v>
      </c>
      <c r="G150" s="1818">
        <v>1.276</v>
      </c>
      <c r="H150" s="1818">
        <v>7.9757163999999996</v>
      </c>
      <c r="I150" s="82"/>
      <c r="J150" s="82"/>
      <c r="K150" s="1818">
        <v>10.527814985000001</v>
      </c>
      <c r="L150" s="1818">
        <v>1.2760988199999999</v>
      </c>
      <c r="M150" s="1818">
        <v>9.2517161650000013</v>
      </c>
      <c r="O150" s="1181" t="s">
        <v>2557</v>
      </c>
      <c r="P150" s="72">
        <v>19.260000399999999</v>
      </c>
      <c r="Q150" s="72">
        <v>1.9260000399999999</v>
      </c>
      <c r="R150" s="72">
        <v>17.334000359999997</v>
      </c>
    </row>
    <row r="151" spans="1:18" x14ac:dyDescent="0.2">
      <c r="A151" s="86"/>
      <c r="B151" s="82"/>
      <c r="C151" s="86"/>
      <c r="D151" s="82"/>
      <c r="E151" s="86" t="s">
        <v>2584</v>
      </c>
      <c r="F151" s="1818">
        <v>8.0835551999999993</v>
      </c>
      <c r="G151" s="1818">
        <v>1.0104</v>
      </c>
      <c r="H151" s="1818">
        <v>7.0731551999999995</v>
      </c>
      <c r="I151" s="82"/>
      <c r="J151" s="82"/>
      <c r="K151" s="1818">
        <v>9.0939999999999994</v>
      </c>
      <c r="L151" s="1818">
        <v>0.45469999999999999</v>
      </c>
      <c r="M151" s="1818">
        <v>8.6392999999999986</v>
      </c>
      <c r="O151" s="1181" t="s">
        <v>2554</v>
      </c>
      <c r="P151" s="72">
        <v>9.18</v>
      </c>
      <c r="Q151" s="72">
        <v>0.53549999999999998</v>
      </c>
      <c r="R151" s="72">
        <v>8.644499999999999</v>
      </c>
    </row>
    <row r="152" spans="1:18" x14ac:dyDescent="0.2">
      <c r="A152" s="86"/>
      <c r="B152" s="82"/>
      <c r="C152" s="86"/>
      <c r="D152" s="82"/>
      <c r="E152" s="86" t="s">
        <v>2581</v>
      </c>
      <c r="F152" s="1818">
        <v>8.8674158999999992</v>
      </c>
      <c r="G152" s="1818">
        <v>1.0968</v>
      </c>
      <c r="H152" s="1818">
        <v>7.7706158999999992</v>
      </c>
      <c r="I152" s="82"/>
      <c r="J152" s="82"/>
      <c r="K152" s="1818">
        <v>9.9644162999999999</v>
      </c>
      <c r="L152" s="1818">
        <v>0.99644162999999986</v>
      </c>
      <c r="M152" s="1818">
        <v>8.9679746700000003</v>
      </c>
      <c r="O152" s="1181" t="s">
        <v>2551</v>
      </c>
      <c r="P152" s="72">
        <v>1.2502884999999999</v>
      </c>
      <c r="Q152" s="72">
        <v>0</v>
      </c>
      <c r="R152" s="72">
        <v>1.2502884999999999</v>
      </c>
    </row>
    <row r="153" spans="1:18" x14ac:dyDescent="0.2">
      <c r="A153" s="86"/>
      <c r="B153" s="82"/>
      <c r="C153" s="86"/>
      <c r="D153" s="82"/>
      <c r="E153" s="86" t="s">
        <v>2578</v>
      </c>
      <c r="F153" s="1818">
        <v>11.98925</v>
      </c>
      <c r="G153" s="1818">
        <v>1.5468</v>
      </c>
      <c r="H153" s="1818">
        <v>10.442450000000001</v>
      </c>
      <c r="I153" s="82"/>
      <c r="J153" s="82"/>
      <c r="K153" s="1818">
        <v>13.536249998000002</v>
      </c>
      <c r="L153" s="1818">
        <v>1.5470000039999998</v>
      </c>
      <c r="M153" s="1818">
        <v>11.989249994000003</v>
      </c>
      <c r="O153" s="1181" t="s">
        <v>2549</v>
      </c>
      <c r="P153" s="72">
        <v>10.7826948</v>
      </c>
      <c r="Q153" s="72">
        <v>0</v>
      </c>
      <c r="R153" s="72">
        <v>10.7826948</v>
      </c>
    </row>
    <row r="154" spans="1:18" x14ac:dyDescent="0.2">
      <c r="A154" s="86"/>
      <c r="B154" s="82"/>
      <c r="C154" s="86"/>
      <c r="D154" s="82"/>
      <c r="E154" s="86" t="s">
        <v>2575</v>
      </c>
      <c r="F154" s="1818">
        <v>8.3300608999999994</v>
      </c>
      <c r="G154" s="1818">
        <v>0.28000000000000003</v>
      </c>
      <c r="H154" s="1818">
        <v>8.0500609000000001</v>
      </c>
      <c r="I154" s="82"/>
      <c r="J154" s="82"/>
      <c r="K154" s="1818">
        <v>8.6173044999999995</v>
      </c>
      <c r="L154" s="1818">
        <v>0</v>
      </c>
      <c r="M154" s="1818">
        <v>8.6173044999999995</v>
      </c>
      <c r="O154" s="1181" t="s">
        <v>2547</v>
      </c>
      <c r="P154" s="72">
        <v>8.3715624999999996</v>
      </c>
      <c r="Q154" s="72">
        <v>0.83715624999999994</v>
      </c>
      <c r="R154" s="72">
        <v>7.53440625</v>
      </c>
    </row>
    <row r="155" spans="1:18" x14ac:dyDescent="0.2">
      <c r="A155" s="86"/>
      <c r="B155" s="82"/>
      <c r="C155" s="86"/>
      <c r="D155" s="82"/>
      <c r="E155" s="86" t="s">
        <v>2572</v>
      </c>
      <c r="F155" s="1818">
        <v>17.978744800000001</v>
      </c>
      <c r="G155" s="1818">
        <v>0.18</v>
      </c>
      <c r="H155" s="1818">
        <v>17.798744800000001</v>
      </c>
      <c r="I155" s="82"/>
      <c r="J155" s="82"/>
      <c r="K155" s="1818">
        <v>17.277994700000001</v>
      </c>
      <c r="L155" s="1818">
        <v>0</v>
      </c>
      <c r="M155" s="1818">
        <v>17.277994700000001</v>
      </c>
      <c r="O155" s="1181" t="s">
        <v>2541</v>
      </c>
      <c r="P155" s="72">
        <v>12.048</v>
      </c>
      <c r="Q155" s="72">
        <v>1.2048000000000001</v>
      </c>
      <c r="R155" s="72">
        <v>10.8432</v>
      </c>
    </row>
    <row r="156" spans="1:18" x14ac:dyDescent="0.2">
      <c r="A156" s="86"/>
      <c r="B156" s="82"/>
      <c r="C156" s="86"/>
      <c r="D156" s="82"/>
      <c r="E156" s="86" t="s">
        <v>2569</v>
      </c>
      <c r="F156" s="1818">
        <v>5.1847764999999999</v>
      </c>
      <c r="G156" s="1818">
        <v>0.71</v>
      </c>
      <c r="H156" s="1818">
        <v>4.4747764999999999</v>
      </c>
      <c r="I156" s="82"/>
      <c r="J156" s="82"/>
      <c r="K156" s="1818">
        <v>4.3018941999999996</v>
      </c>
      <c r="L156" s="1818">
        <v>0.43018941999999999</v>
      </c>
      <c r="M156" s="1818">
        <v>3.8717047799999995</v>
      </c>
      <c r="O156" s="1181" t="s">
        <v>2538</v>
      </c>
      <c r="P156" s="72">
        <v>8.1803331999999997</v>
      </c>
      <c r="Q156" s="72">
        <v>0.81803331999999995</v>
      </c>
      <c r="R156" s="72">
        <v>7.3622998800000001</v>
      </c>
    </row>
    <row r="157" spans="1:18" x14ac:dyDescent="0.2">
      <c r="A157" s="86"/>
      <c r="B157" s="82"/>
      <c r="C157" s="86"/>
      <c r="D157" s="82"/>
      <c r="E157" s="86" t="s">
        <v>2566</v>
      </c>
      <c r="F157" s="1818">
        <v>17.3596675</v>
      </c>
      <c r="G157" s="1818">
        <v>2.1924000000000001</v>
      </c>
      <c r="H157" s="1818">
        <v>15.167267500000001</v>
      </c>
      <c r="I157" s="82"/>
      <c r="J157" s="82"/>
      <c r="K157" s="1818">
        <v>19.552467100000001</v>
      </c>
      <c r="L157" s="1818">
        <v>2.1927995999999998</v>
      </c>
      <c r="M157" s="1818">
        <v>17.3596675</v>
      </c>
      <c r="O157" s="1181" t="s">
        <v>2535</v>
      </c>
      <c r="P157" s="72">
        <v>7.7531669000000001</v>
      </c>
      <c r="Q157" s="72">
        <v>0.77531669000000014</v>
      </c>
      <c r="R157" s="72">
        <v>6.9778502099999997</v>
      </c>
    </row>
    <row r="158" spans="1:18" x14ac:dyDescent="0.2">
      <c r="A158" s="86"/>
      <c r="B158" s="82"/>
      <c r="C158" s="86"/>
      <c r="D158" s="82"/>
      <c r="E158" s="86" t="s">
        <v>2563</v>
      </c>
      <c r="F158" s="1818">
        <v>7.86592</v>
      </c>
      <c r="G158" s="1818">
        <v>0</v>
      </c>
      <c r="H158" s="1818">
        <v>7.86592</v>
      </c>
      <c r="I158" s="82"/>
      <c r="J158" s="82"/>
      <c r="K158" s="1818"/>
      <c r="L158" s="1818"/>
      <c r="M158" s="1818"/>
      <c r="O158" s="1181" t="s">
        <v>2529</v>
      </c>
      <c r="P158" s="72">
        <v>7.8188370000000003</v>
      </c>
      <c r="Q158" s="72">
        <v>0</v>
      </c>
      <c r="R158" s="72">
        <v>7.8188370000000003</v>
      </c>
    </row>
    <row r="159" spans="1:18" x14ac:dyDescent="0.2">
      <c r="A159" s="86"/>
      <c r="B159" s="82"/>
      <c r="C159" s="86"/>
      <c r="D159" s="82"/>
      <c r="E159" s="86" t="s">
        <v>2560</v>
      </c>
      <c r="F159" s="1818">
        <v>18.5406552</v>
      </c>
      <c r="G159" s="1818">
        <v>0</v>
      </c>
      <c r="H159" s="1818">
        <v>18.5406552</v>
      </c>
      <c r="I159" s="82"/>
      <c r="J159" s="82"/>
      <c r="K159" s="1818"/>
      <c r="L159" s="1818"/>
      <c r="M159" s="1818"/>
      <c r="O159" s="1181" t="s">
        <v>2526</v>
      </c>
      <c r="P159" s="72">
        <v>4.0413686999999996</v>
      </c>
      <c r="Q159" s="72">
        <v>0.13471228999999998</v>
      </c>
      <c r="R159" s="72">
        <v>3.9066564099999996</v>
      </c>
    </row>
    <row r="160" spans="1:18" x14ac:dyDescent="0.2">
      <c r="A160" s="86"/>
      <c r="B160" s="82"/>
      <c r="C160" s="86"/>
      <c r="D160" s="82"/>
      <c r="E160" s="86" t="s">
        <v>2557</v>
      </c>
      <c r="F160" s="1818">
        <v>17.1200008</v>
      </c>
      <c r="G160" s="1818">
        <v>2.1395999999999997</v>
      </c>
      <c r="H160" s="1818">
        <v>14.9804008</v>
      </c>
      <c r="I160" s="82"/>
      <c r="J160" s="82"/>
      <c r="K160" s="1818">
        <v>19.260000399999999</v>
      </c>
      <c r="L160" s="1818">
        <v>1.9260000399999999</v>
      </c>
      <c r="M160" s="1818">
        <v>17.334000359999997</v>
      </c>
      <c r="O160" s="1181" t="s">
        <v>2523</v>
      </c>
      <c r="P160" s="72">
        <v>5.8583692000000003</v>
      </c>
      <c r="Q160" s="72">
        <v>0.83691000000000004</v>
      </c>
      <c r="R160" s="72">
        <v>5.0214592000000007</v>
      </c>
    </row>
    <row r="161" spans="1:18" x14ac:dyDescent="0.2">
      <c r="A161" s="86"/>
      <c r="B161" s="82"/>
      <c r="C161" s="86"/>
      <c r="D161" s="82"/>
      <c r="E161" s="86" t="s">
        <v>2554</v>
      </c>
      <c r="F161" s="1818">
        <v>8.4149999999999991</v>
      </c>
      <c r="G161" s="1818">
        <v>0.76</v>
      </c>
      <c r="H161" s="1818">
        <v>7.6549999999999994</v>
      </c>
      <c r="I161" s="82"/>
      <c r="J161" s="82"/>
      <c r="K161" s="1818">
        <v>9.18</v>
      </c>
      <c r="L161" s="1818">
        <v>0.53549999999999998</v>
      </c>
      <c r="M161" s="1818">
        <v>8.644499999999999</v>
      </c>
      <c r="O161" s="1181" t="s">
        <v>2519</v>
      </c>
      <c r="P161" s="72">
        <v>16.427395934</v>
      </c>
      <c r="Q161" s="72">
        <v>1.6427395934</v>
      </c>
      <c r="R161" s="72">
        <v>14.7846563406</v>
      </c>
    </row>
    <row r="162" spans="1:18" x14ac:dyDescent="0.2">
      <c r="A162" s="86"/>
      <c r="B162" s="82"/>
      <c r="C162" s="86"/>
      <c r="D162" s="82"/>
      <c r="E162" s="86" t="s">
        <v>2551</v>
      </c>
      <c r="F162" s="1818">
        <v>1.2502884999999999</v>
      </c>
      <c r="G162" s="1818">
        <v>0</v>
      </c>
      <c r="H162" s="1818">
        <v>1.2502884999999999</v>
      </c>
      <c r="I162" s="82"/>
      <c r="J162" s="82"/>
      <c r="K162" s="1818">
        <v>1.2502884999999999</v>
      </c>
      <c r="L162" s="1818">
        <v>0</v>
      </c>
      <c r="M162" s="1818">
        <v>1.2502884999999999</v>
      </c>
      <c r="O162" s="1181" t="s">
        <v>2516</v>
      </c>
      <c r="P162" s="72">
        <v>11.7230002</v>
      </c>
      <c r="Q162" s="72">
        <v>1.17230002</v>
      </c>
      <c r="R162" s="72">
        <v>10.55070018</v>
      </c>
    </row>
    <row r="163" spans="1:18" x14ac:dyDescent="0.2">
      <c r="A163" s="86"/>
      <c r="B163" s="82"/>
      <c r="C163" s="86"/>
      <c r="D163" s="82"/>
      <c r="E163" s="86" t="s">
        <v>2549</v>
      </c>
      <c r="F163" s="1818">
        <v>12.826558800000001</v>
      </c>
      <c r="G163" s="1818">
        <v>0</v>
      </c>
      <c r="H163" s="1818">
        <v>12.826558800000001</v>
      </c>
      <c r="I163" s="82"/>
      <c r="J163" s="82"/>
      <c r="K163" s="1818">
        <v>10.7826948</v>
      </c>
      <c r="L163" s="1818">
        <v>0</v>
      </c>
      <c r="M163" s="1818">
        <v>10.7826948</v>
      </c>
      <c r="O163" s="1181" t="s">
        <v>2513</v>
      </c>
      <c r="P163" s="72">
        <v>8.52</v>
      </c>
      <c r="Q163" s="72">
        <v>0.85199999999999987</v>
      </c>
      <c r="R163" s="72">
        <v>7.6679999999999993</v>
      </c>
    </row>
    <row r="164" spans="1:18" x14ac:dyDescent="0.2">
      <c r="A164" s="86"/>
      <c r="B164" s="82"/>
      <c r="C164" s="86"/>
      <c r="D164" s="82"/>
      <c r="E164" s="86" t="s">
        <v>2547</v>
      </c>
      <c r="F164" s="1818">
        <v>7.2428125000000003</v>
      </c>
      <c r="G164" s="1818">
        <v>1.1280000000000001</v>
      </c>
      <c r="H164" s="1818">
        <v>6.1148125000000002</v>
      </c>
      <c r="I164" s="82"/>
      <c r="J164" s="82"/>
      <c r="K164" s="1818">
        <v>8.3715624999999996</v>
      </c>
      <c r="L164" s="1818">
        <v>0.83715624999999994</v>
      </c>
      <c r="M164" s="1818">
        <v>7.53440625</v>
      </c>
      <c r="O164" s="1181" t="s">
        <v>2507</v>
      </c>
      <c r="P164" s="72">
        <v>2.8145699999999998</v>
      </c>
      <c r="Q164" s="72">
        <v>0</v>
      </c>
      <c r="R164" s="72">
        <v>2.8145699999999998</v>
      </c>
    </row>
    <row r="165" spans="1:18" x14ac:dyDescent="0.2">
      <c r="A165" s="86"/>
      <c r="B165" s="82"/>
      <c r="C165" s="86"/>
      <c r="D165" s="82"/>
      <c r="E165" s="86" t="s">
        <v>2544</v>
      </c>
      <c r="F165" s="1818">
        <v>3.3270206999999998</v>
      </c>
      <c r="G165" s="1818">
        <v>0</v>
      </c>
      <c r="H165" s="1818">
        <v>3.3270206999999998</v>
      </c>
      <c r="I165" s="82"/>
      <c r="J165" s="82"/>
      <c r="K165" s="1818"/>
      <c r="L165" s="1818"/>
      <c r="M165" s="1818"/>
      <c r="O165" s="1181">
        <v>15656</v>
      </c>
      <c r="P165" s="72">
        <v>2.4887771999999999</v>
      </c>
      <c r="Q165" s="72">
        <v>0</v>
      </c>
      <c r="R165" s="72">
        <v>2.4887771999999999</v>
      </c>
    </row>
    <row r="166" spans="1:18" x14ac:dyDescent="0.2">
      <c r="A166" s="86"/>
      <c r="B166" s="82"/>
      <c r="C166" s="86"/>
      <c r="D166" s="82"/>
      <c r="E166" s="86" t="s">
        <v>2541</v>
      </c>
      <c r="F166" s="1818">
        <v>10.542</v>
      </c>
      <c r="G166" s="1818">
        <v>1.506</v>
      </c>
      <c r="H166" s="1818">
        <v>9.0359999999999996</v>
      </c>
      <c r="I166" s="82"/>
      <c r="J166" s="82"/>
      <c r="K166" s="1818">
        <v>12.048</v>
      </c>
      <c r="L166" s="1818">
        <v>1.2048000000000001</v>
      </c>
      <c r="M166" s="1818">
        <v>10.8432</v>
      </c>
      <c r="O166" s="1181">
        <v>15654</v>
      </c>
      <c r="P166" s="72">
        <v>14.656000000000001</v>
      </c>
      <c r="Q166" s="72">
        <v>0.24426666666666669</v>
      </c>
      <c r="R166" s="72">
        <v>14.411733333333334</v>
      </c>
    </row>
    <row r="167" spans="1:18" x14ac:dyDescent="0.2">
      <c r="A167" s="86"/>
      <c r="B167" s="82"/>
      <c r="C167" s="86"/>
      <c r="D167" s="82"/>
      <c r="E167" s="86" t="s">
        <v>2538</v>
      </c>
      <c r="F167" s="1818">
        <v>7.1133328000000002</v>
      </c>
      <c r="G167" s="1818">
        <v>1.0668000000000002</v>
      </c>
      <c r="H167" s="1818">
        <v>6.0465327999999996</v>
      </c>
      <c r="I167" s="82"/>
      <c r="J167" s="82"/>
      <c r="K167" s="1818">
        <v>8.1803331999999997</v>
      </c>
      <c r="L167" s="1818">
        <v>0.81803331999999995</v>
      </c>
      <c r="M167" s="1818">
        <v>7.3622998800000001</v>
      </c>
      <c r="O167" s="1181">
        <v>15643</v>
      </c>
      <c r="P167" s="72">
        <v>2.5439002999999998</v>
      </c>
      <c r="Q167" s="72">
        <v>0</v>
      </c>
      <c r="R167" s="72">
        <v>2.5439002999999998</v>
      </c>
    </row>
    <row r="168" spans="1:18" x14ac:dyDescent="0.2">
      <c r="A168" s="86"/>
      <c r="B168" s="82"/>
      <c r="C168" s="86"/>
      <c r="D168" s="82"/>
      <c r="E168" s="86" t="s">
        <v>2535</v>
      </c>
      <c r="F168" s="1818">
        <v>6.9073672999999998</v>
      </c>
      <c r="G168" s="1818">
        <v>0.84000000000000008</v>
      </c>
      <c r="H168" s="1818">
        <v>6.0673672999999999</v>
      </c>
      <c r="I168" s="82"/>
      <c r="J168" s="82"/>
      <c r="K168" s="1818">
        <v>7.7531669000000001</v>
      </c>
      <c r="L168" s="1818">
        <v>0.77531669000000014</v>
      </c>
      <c r="M168" s="1818">
        <v>6.9778502099999997</v>
      </c>
      <c r="O168" s="1181">
        <v>16052</v>
      </c>
      <c r="P168" s="72">
        <v>30.128</v>
      </c>
      <c r="Q168" s="72">
        <v>3.0127999999999999</v>
      </c>
      <c r="R168" s="72">
        <v>27.115200000000002</v>
      </c>
    </row>
    <row r="169" spans="1:18" x14ac:dyDescent="0.2">
      <c r="A169" s="86"/>
      <c r="B169" s="82"/>
      <c r="C169" s="86"/>
      <c r="D169" s="82"/>
      <c r="E169" s="86" t="s">
        <v>2532</v>
      </c>
      <c r="F169" s="1818">
        <v>6.6738350000000004</v>
      </c>
      <c r="G169" s="1818">
        <v>0</v>
      </c>
      <c r="H169" s="1818">
        <v>6.6738350000000004</v>
      </c>
      <c r="I169" s="82"/>
      <c r="J169" s="82"/>
      <c r="K169" s="1818"/>
      <c r="L169" s="1818"/>
      <c r="M169" s="1818"/>
      <c r="O169" s="1181">
        <v>16057</v>
      </c>
      <c r="P169" s="72">
        <v>16.017539800000002</v>
      </c>
      <c r="Q169" s="72">
        <v>0</v>
      </c>
      <c r="R169" s="72">
        <v>16.017539800000002</v>
      </c>
    </row>
    <row r="170" spans="1:18" x14ac:dyDescent="0.2">
      <c r="A170" s="86"/>
      <c r="B170" s="82"/>
      <c r="C170" s="86"/>
      <c r="D170" s="82"/>
      <c r="E170" s="86" t="s">
        <v>2529</v>
      </c>
      <c r="F170" s="1818">
        <v>7.8844368999999999</v>
      </c>
      <c r="G170" s="1818">
        <v>0.29009999999999997</v>
      </c>
      <c r="H170" s="1818">
        <v>7.5943369000000001</v>
      </c>
      <c r="I170" s="82"/>
      <c r="J170" s="82"/>
      <c r="K170" s="1818">
        <v>7.8188370000000003</v>
      </c>
      <c r="L170" s="1818">
        <v>0</v>
      </c>
      <c r="M170" s="1818">
        <v>7.8188370000000003</v>
      </c>
      <c r="O170" s="1857" t="s">
        <v>2481</v>
      </c>
      <c r="P170" s="72">
        <v>1800</v>
      </c>
      <c r="Q170" s="72">
        <v>0</v>
      </c>
      <c r="R170" s="72">
        <v>1800</v>
      </c>
    </row>
    <row r="171" spans="1:18" x14ac:dyDescent="0.2">
      <c r="A171" s="86"/>
      <c r="B171" s="82"/>
      <c r="C171" s="86"/>
      <c r="D171" s="82"/>
      <c r="E171" s="86" t="s">
        <v>2526</v>
      </c>
      <c r="F171" s="1818">
        <v>5.8937631000000001</v>
      </c>
      <c r="G171" s="1818">
        <v>0.2</v>
      </c>
      <c r="H171" s="1818">
        <v>5.6937631</v>
      </c>
      <c r="I171" s="82"/>
      <c r="J171" s="82"/>
      <c r="K171" s="1818">
        <v>4.0413686999999996</v>
      </c>
      <c r="L171" s="1818">
        <v>0.13471228999999998</v>
      </c>
      <c r="M171" s="1818">
        <v>3.9066564099999996</v>
      </c>
      <c r="O171" s="1857"/>
    </row>
    <row r="172" spans="1:18" x14ac:dyDescent="0.2">
      <c r="A172" s="86"/>
      <c r="B172" s="82"/>
      <c r="C172" s="86"/>
      <c r="D172" s="82"/>
      <c r="E172" s="86" t="s">
        <v>2523</v>
      </c>
      <c r="F172" s="1818">
        <v>5.0214591999999998</v>
      </c>
      <c r="G172" s="1818">
        <v>0.83691000000000004</v>
      </c>
      <c r="H172" s="1818">
        <v>4.1845491999999993</v>
      </c>
      <c r="I172" s="82"/>
      <c r="J172" s="82"/>
      <c r="K172" s="1818">
        <v>5.8583692000000003</v>
      </c>
      <c r="L172" s="1818">
        <v>0.83691000000000004</v>
      </c>
      <c r="M172" s="1818">
        <v>5.0214592000000007</v>
      </c>
      <c r="O172" s="1846" t="s">
        <v>3065</v>
      </c>
      <c r="P172" s="72">
        <v>13488.279402133996</v>
      </c>
      <c r="Q172" s="72">
        <v>1483.9457997150673</v>
      </c>
      <c r="R172" s="72">
        <v>12004.333602418934</v>
      </c>
    </row>
    <row r="173" spans="1:18" x14ac:dyDescent="0.2">
      <c r="A173" s="86"/>
      <c r="B173" s="82"/>
      <c r="C173" s="86"/>
      <c r="D173" s="82"/>
      <c r="E173" s="86" t="s">
        <v>2519</v>
      </c>
      <c r="F173" s="1818">
        <v>14.261146399999999</v>
      </c>
      <c r="G173" s="1818">
        <v>2.1659999999999999</v>
      </c>
      <c r="H173" s="1818">
        <v>12.095146399999999</v>
      </c>
      <c r="I173" s="82"/>
      <c r="J173" s="82"/>
      <c r="K173" s="1818">
        <v>16.427395934</v>
      </c>
      <c r="L173" s="1818">
        <v>1.6427395934</v>
      </c>
      <c r="M173" s="1818">
        <v>14.7846563406</v>
      </c>
      <c r="O173" s="1850"/>
    </row>
    <row r="174" spans="1:18" x14ac:dyDescent="0.2">
      <c r="A174" s="86"/>
      <c r="B174" s="82"/>
      <c r="C174" s="86"/>
      <c r="D174" s="82"/>
      <c r="E174" s="86" t="s">
        <v>2516</v>
      </c>
      <c r="F174" s="1818">
        <v>10.489000600000001</v>
      </c>
      <c r="G174" s="1818">
        <v>1.2336</v>
      </c>
      <c r="H174" s="1818">
        <v>9.2554006000000015</v>
      </c>
      <c r="I174" s="82"/>
      <c r="J174" s="82"/>
      <c r="K174" s="1818">
        <v>11.7230002</v>
      </c>
      <c r="L174" s="1818">
        <v>1.17230002</v>
      </c>
      <c r="M174" s="1818">
        <v>10.55070018</v>
      </c>
      <c r="O174" s="1850" t="s">
        <v>3074</v>
      </c>
    </row>
    <row r="175" spans="1:18" x14ac:dyDescent="0.2">
      <c r="A175" s="86"/>
      <c r="B175" s="82"/>
      <c r="C175" s="86"/>
      <c r="D175" s="82"/>
      <c r="E175" s="86" t="s">
        <v>2513</v>
      </c>
      <c r="F175" s="1818">
        <v>7.6680000000000001</v>
      </c>
      <c r="G175" s="1818">
        <v>0.85199999999999987</v>
      </c>
      <c r="H175" s="1818">
        <v>6.8160000000000007</v>
      </c>
      <c r="I175" s="82"/>
      <c r="J175" s="82"/>
      <c r="K175" s="1818">
        <v>8.52</v>
      </c>
      <c r="L175" s="1818">
        <v>0.85199999999999987</v>
      </c>
      <c r="M175" s="1818">
        <v>7.6679999999999993</v>
      </c>
      <c r="O175" s="1850" t="s">
        <v>3075</v>
      </c>
    </row>
    <row r="176" spans="1:18" x14ac:dyDescent="0.2">
      <c r="A176" s="86"/>
      <c r="B176" s="82"/>
      <c r="C176" s="86"/>
      <c r="D176" s="82"/>
      <c r="E176" s="86" t="s">
        <v>2510</v>
      </c>
      <c r="F176" s="1818">
        <v>0</v>
      </c>
      <c r="G176" s="1818">
        <v>0</v>
      </c>
      <c r="H176" s="1818">
        <v>0</v>
      </c>
      <c r="I176" s="82"/>
      <c r="J176" s="82"/>
      <c r="K176" s="1818"/>
      <c r="L176" s="1818"/>
      <c r="M176" s="1818"/>
      <c r="O176" s="1850" t="s">
        <v>2484</v>
      </c>
      <c r="P176" s="72">
        <v>938.07950470000003</v>
      </c>
      <c r="Q176" s="72">
        <v>117.25993808749999</v>
      </c>
      <c r="R176" s="72">
        <v>820.81956661250001</v>
      </c>
    </row>
    <row r="177" spans="1:18" x14ac:dyDescent="0.2">
      <c r="A177" s="86"/>
      <c r="B177" s="82"/>
      <c r="C177" s="86"/>
      <c r="D177" s="82"/>
      <c r="E177" s="86" t="s">
        <v>2507</v>
      </c>
      <c r="F177" s="1818">
        <v>2.8145699999999998</v>
      </c>
      <c r="G177" s="1818">
        <v>0</v>
      </c>
      <c r="H177" s="1818">
        <v>2.8145699999999998</v>
      </c>
      <c r="I177" s="82"/>
      <c r="J177" s="82"/>
      <c r="K177" s="1818">
        <v>2.8145699999999998</v>
      </c>
      <c r="L177" s="1818">
        <v>0</v>
      </c>
      <c r="M177" s="1818">
        <v>2.8145699999999998</v>
      </c>
      <c r="O177" s="1181">
        <v>21571003</v>
      </c>
      <c r="P177" s="72">
        <v>1887.1727430999999</v>
      </c>
      <c r="Q177" s="72">
        <v>174.18119999999999</v>
      </c>
      <c r="R177" s="72">
        <v>1712.9915430999999</v>
      </c>
    </row>
    <row r="178" spans="1:18" x14ac:dyDescent="0.2">
      <c r="A178" s="86"/>
      <c r="B178" s="82"/>
      <c r="C178" s="86"/>
      <c r="D178" s="82"/>
      <c r="E178" s="86">
        <v>15656</v>
      </c>
      <c r="F178" s="1818">
        <v>5.4884976999999999</v>
      </c>
      <c r="G178" s="1818">
        <v>0</v>
      </c>
      <c r="H178" s="1818">
        <v>5.4884976999999999</v>
      </c>
      <c r="I178" s="82"/>
      <c r="J178" s="82"/>
      <c r="K178" s="1818">
        <v>2.4887771999999999</v>
      </c>
      <c r="L178" s="1818">
        <v>0</v>
      </c>
      <c r="M178" s="1818">
        <v>2.4887771999999999</v>
      </c>
      <c r="O178" s="1858">
        <v>20058</v>
      </c>
    </row>
    <row r="179" spans="1:18" x14ac:dyDescent="0.2">
      <c r="A179" s="86"/>
      <c r="B179" s="82"/>
      <c r="C179" s="86"/>
      <c r="D179" s="82"/>
      <c r="E179" s="86">
        <v>15654</v>
      </c>
      <c r="F179" s="1818">
        <v>14.4117333</v>
      </c>
      <c r="G179" s="1818">
        <v>0.2442</v>
      </c>
      <c r="H179" s="1818">
        <v>14.167533300000001</v>
      </c>
      <c r="I179" s="82"/>
      <c r="J179" s="82"/>
      <c r="K179" s="1818">
        <v>14.656000000000001</v>
      </c>
      <c r="L179" s="1818">
        <v>0.24426666666666669</v>
      </c>
      <c r="M179" s="1818">
        <v>14.411733333333334</v>
      </c>
      <c r="O179" s="1860">
        <v>36174151137</v>
      </c>
      <c r="P179" s="72">
        <v>1066.6391994000001</v>
      </c>
      <c r="Q179" s="72">
        <v>172.4</v>
      </c>
      <c r="R179" s="72">
        <v>894.23919940000008</v>
      </c>
    </row>
    <row r="180" spans="1:18" x14ac:dyDescent="0.2">
      <c r="A180" s="86"/>
      <c r="B180" s="82"/>
      <c r="C180" s="86"/>
      <c r="D180" s="82"/>
      <c r="E180" s="86">
        <v>15655</v>
      </c>
      <c r="F180" s="1818">
        <v>4.8193489999999999</v>
      </c>
      <c r="G180" s="1818">
        <v>0</v>
      </c>
      <c r="H180" s="1818">
        <v>4.8193489999999999</v>
      </c>
      <c r="I180" s="82"/>
      <c r="J180" s="82"/>
      <c r="K180" s="1818"/>
      <c r="L180" s="1818"/>
      <c r="M180" s="1818"/>
      <c r="O180" s="1860">
        <v>263652000000317</v>
      </c>
    </row>
    <row r="181" spans="1:18" x14ac:dyDescent="0.2">
      <c r="A181" s="86"/>
      <c r="B181" s="82"/>
      <c r="C181" s="86"/>
      <c r="D181" s="82"/>
      <c r="E181" s="86">
        <v>15643</v>
      </c>
      <c r="F181" s="1818">
        <v>2.9999703000000002</v>
      </c>
      <c r="G181" s="1818">
        <v>0</v>
      </c>
      <c r="H181" s="1818">
        <v>2.9999703000000002</v>
      </c>
      <c r="I181" s="82"/>
      <c r="J181" s="82"/>
      <c r="K181" s="1818">
        <v>2.5439002999999998</v>
      </c>
      <c r="L181" s="1818">
        <v>0</v>
      </c>
      <c r="M181" s="1818">
        <v>2.5439002999999998</v>
      </c>
      <c r="O181" s="1860"/>
    </row>
    <row r="182" spans="1:18" x14ac:dyDescent="0.2">
      <c r="A182" s="86"/>
      <c r="B182" s="82"/>
      <c r="C182" s="86"/>
      <c r="D182" s="82"/>
      <c r="E182" s="86">
        <v>16055</v>
      </c>
      <c r="F182" s="1818">
        <v>7.8099539</v>
      </c>
      <c r="G182" s="1818">
        <v>0</v>
      </c>
      <c r="H182" s="1818">
        <v>7.8099539</v>
      </c>
      <c r="I182" s="82"/>
      <c r="J182" s="82"/>
      <c r="K182" s="1818"/>
      <c r="L182" s="1818"/>
      <c r="M182" s="1818"/>
      <c r="O182" s="1861" t="s">
        <v>3076</v>
      </c>
      <c r="P182" s="72">
        <v>3891.8914472000001</v>
      </c>
      <c r="Q182" s="72">
        <v>463.84113808749998</v>
      </c>
      <c r="R182" s="72">
        <v>3428.0503091125001</v>
      </c>
    </row>
    <row r="183" spans="1:18" x14ac:dyDescent="0.2">
      <c r="A183" s="86"/>
      <c r="B183" s="82"/>
      <c r="C183" s="86"/>
      <c r="D183" s="82"/>
      <c r="E183" s="86">
        <v>16052</v>
      </c>
      <c r="F183" s="1818">
        <v>26.9</v>
      </c>
      <c r="G183" s="1818">
        <v>3.2280000000000002</v>
      </c>
      <c r="H183" s="1818">
        <v>23.671999999999997</v>
      </c>
      <c r="I183" s="82"/>
      <c r="J183" s="82"/>
      <c r="K183" s="1818">
        <v>30.128</v>
      </c>
      <c r="L183" s="1818">
        <v>3.0127999999999999</v>
      </c>
      <c r="M183" s="1818">
        <v>27.115200000000002</v>
      </c>
      <c r="O183" s="1850"/>
    </row>
    <row r="184" spans="1:18" x14ac:dyDescent="0.2">
      <c r="A184" s="86"/>
      <c r="B184" s="82"/>
      <c r="C184" s="86"/>
      <c r="D184" s="82"/>
      <c r="E184" s="86">
        <v>16057</v>
      </c>
      <c r="F184" s="1818">
        <v>16.017539800000002</v>
      </c>
      <c r="G184" s="1818">
        <v>0</v>
      </c>
      <c r="H184" s="1818">
        <v>16.017539800000002</v>
      </c>
      <c r="I184" s="82"/>
      <c r="J184" s="82"/>
      <c r="K184" s="1818">
        <v>16.017539800000002</v>
      </c>
      <c r="L184" s="1818">
        <v>0</v>
      </c>
      <c r="M184" s="1818">
        <v>16.017539800000002</v>
      </c>
      <c r="O184" s="1846" t="s">
        <v>3067</v>
      </c>
      <c r="P184" s="72">
        <v>27136.752631933996</v>
      </c>
      <c r="Q184" s="72">
        <v>2865.3637093025673</v>
      </c>
      <c r="R184" s="72">
        <v>24271.388922631435</v>
      </c>
    </row>
    <row r="185" spans="1:18" x14ac:dyDescent="0.2">
      <c r="A185" s="86"/>
      <c r="B185" s="82"/>
      <c r="C185" s="86"/>
      <c r="D185" s="82"/>
      <c r="E185" s="86">
        <v>16733</v>
      </c>
      <c r="F185" s="1818">
        <v>3.0969989999999998</v>
      </c>
      <c r="G185" s="1818">
        <v>0</v>
      </c>
      <c r="H185" s="1818">
        <v>3.0969989999999998</v>
      </c>
      <c r="I185" s="82"/>
      <c r="J185" s="82"/>
      <c r="K185" s="1818"/>
      <c r="L185" s="1818"/>
      <c r="M185" s="1818"/>
      <c r="O185" s="1850"/>
    </row>
    <row r="186" spans="1:18" x14ac:dyDescent="0.2">
      <c r="A186" s="86"/>
      <c r="B186" s="82"/>
      <c r="C186" s="86"/>
      <c r="D186" s="82"/>
      <c r="E186" s="86">
        <v>16144</v>
      </c>
      <c r="F186" s="1818">
        <v>17.079090999999998</v>
      </c>
      <c r="G186" s="1818">
        <v>0</v>
      </c>
      <c r="H186" s="1818">
        <v>17.079090999999998</v>
      </c>
      <c r="I186" s="82"/>
      <c r="J186" s="82"/>
      <c r="K186" s="1818"/>
      <c r="L186" s="1818"/>
      <c r="M186" s="1818"/>
      <c r="O186" s="77"/>
    </row>
    <row r="187" spans="1:18" x14ac:dyDescent="0.2">
      <c r="A187" s="86"/>
      <c r="B187" s="82"/>
      <c r="C187" s="86"/>
      <c r="D187" s="82"/>
      <c r="E187" s="86" t="s">
        <v>2484</v>
      </c>
      <c r="F187" s="1818">
        <v>814.23961150000002</v>
      </c>
      <c r="G187" s="1818">
        <v>123.83880000000001</v>
      </c>
      <c r="H187" s="1818">
        <v>690.40081150000003</v>
      </c>
      <c r="I187" s="82"/>
      <c r="J187" s="82"/>
      <c r="K187" s="1818">
        <v>938.07950470000003</v>
      </c>
      <c r="L187" s="1818">
        <v>117.25993808749999</v>
      </c>
      <c r="M187" s="1818">
        <v>820.81956661250001</v>
      </c>
      <c r="O187" s="77"/>
    </row>
    <row r="188" spans="1:18" x14ac:dyDescent="0.2">
      <c r="A188" s="86"/>
      <c r="B188" s="82"/>
      <c r="C188" s="86"/>
      <c r="D188" s="82"/>
      <c r="E188" s="86" t="s">
        <v>2481</v>
      </c>
      <c r="F188" s="1818">
        <v>1800</v>
      </c>
      <c r="G188" s="1818">
        <v>0</v>
      </c>
      <c r="H188" s="1818">
        <v>1800</v>
      </c>
      <c r="I188" s="82"/>
      <c r="J188" s="82"/>
      <c r="K188" s="1818">
        <v>1800</v>
      </c>
      <c r="L188" s="1818">
        <v>0</v>
      </c>
      <c r="M188" s="1818">
        <v>1800</v>
      </c>
      <c r="O188" s="77"/>
    </row>
    <row r="189" spans="1:18" x14ac:dyDescent="0.2">
      <c r="A189" s="86"/>
      <c r="B189" s="82"/>
      <c r="C189" s="86"/>
      <c r="D189" s="82"/>
      <c r="E189" s="86" t="s">
        <v>2478</v>
      </c>
      <c r="F189" s="1818">
        <v>1089.7472451000001</v>
      </c>
      <c r="G189" s="1818">
        <v>0</v>
      </c>
      <c r="H189" s="1818">
        <v>1089.7472451000001</v>
      </c>
      <c r="I189" s="82"/>
      <c r="J189" s="82"/>
      <c r="K189" s="1818"/>
      <c r="L189" s="1818"/>
      <c r="M189" s="1818"/>
      <c r="O189" s="77"/>
    </row>
    <row r="190" spans="1:18" x14ac:dyDescent="0.2">
      <c r="A190" s="86"/>
      <c r="B190" s="82"/>
      <c r="C190" s="86"/>
      <c r="D190" s="82"/>
      <c r="E190" s="86"/>
      <c r="F190" s="1818"/>
      <c r="G190" s="1818"/>
      <c r="H190" s="1818"/>
      <c r="I190" s="82"/>
      <c r="J190" s="82"/>
      <c r="K190" s="82"/>
      <c r="L190" s="82"/>
      <c r="M190" s="82"/>
      <c r="O190" s="77"/>
    </row>
    <row r="191" spans="1:18" s="93" customFormat="1" x14ac:dyDescent="0.2">
      <c r="A191" s="78"/>
      <c r="B191" s="88"/>
      <c r="C191" s="78"/>
      <c r="D191" s="88"/>
      <c r="E191" s="78" t="s">
        <v>3065</v>
      </c>
      <c r="F191" s="1819">
        <f>SUM(F61:F190)</f>
        <v>14259.908611358</v>
      </c>
      <c r="G191" s="1819">
        <f t="shared" ref="G191:M191" si="2">SUM(G61:G190)</f>
        <v>1615.0095035046011</v>
      </c>
      <c r="H191" s="1819">
        <f t="shared" si="2"/>
        <v>12644.899107853393</v>
      </c>
      <c r="I191" s="1819">
        <f t="shared" si="2"/>
        <v>0</v>
      </c>
      <c r="J191" s="1819">
        <f t="shared" si="2"/>
        <v>0</v>
      </c>
      <c r="K191" s="1819">
        <f t="shared" si="2"/>
        <v>14421.929334633995</v>
      </c>
      <c r="L191" s="1819">
        <f t="shared" si="2"/>
        <v>1596.7807378025675</v>
      </c>
      <c r="M191" s="1819">
        <f t="shared" si="2"/>
        <v>12825.148596831434</v>
      </c>
      <c r="O191" s="77"/>
    </row>
    <row r="192" spans="1:18" s="93" customFormat="1" x14ac:dyDescent="0.2">
      <c r="A192" s="78"/>
      <c r="B192" s="88"/>
      <c r="C192" s="78"/>
      <c r="D192" s="88"/>
      <c r="E192" s="78"/>
      <c r="F192" s="1819"/>
      <c r="G192" s="1819"/>
      <c r="H192" s="1819"/>
      <c r="I192" s="1819"/>
      <c r="J192" s="1819"/>
      <c r="K192" s="1819"/>
      <c r="L192" s="1819"/>
      <c r="M192" s="1819"/>
      <c r="O192" s="77"/>
    </row>
    <row r="193" spans="1:15" s="93" customFormat="1" x14ac:dyDescent="0.2">
      <c r="A193" s="78"/>
      <c r="B193" s="82" t="s">
        <v>2475</v>
      </c>
      <c r="C193" s="78"/>
      <c r="D193" s="88"/>
      <c r="E193" s="86">
        <v>42829277924</v>
      </c>
      <c r="F193" s="1818">
        <v>499.99961539999998</v>
      </c>
      <c r="G193" s="1818">
        <v>0</v>
      </c>
      <c r="H193" s="1818">
        <v>499.99961539999998</v>
      </c>
      <c r="I193" s="1819"/>
      <c r="J193" s="1819"/>
      <c r="K193" s="1819"/>
      <c r="L193" s="1819"/>
      <c r="M193" s="1819"/>
      <c r="O193" s="77"/>
    </row>
    <row r="194" spans="1:15" s="93" customFormat="1" x14ac:dyDescent="0.2">
      <c r="A194" s="78"/>
      <c r="B194" s="82" t="s">
        <v>2472</v>
      </c>
      <c r="C194" s="78"/>
      <c r="D194" s="88"/>
      <c r="E194" s="86" t="s">
        <v>2471</v>
      </c>
      <c r="F194" s="1818">
        <v>325</v>
      </c>
      <c r="G194" s="1818">
        <v>0</v>
      </c>
      <c r="H194" s="1818">
        <v>325</v>
      </c>
      <c r="I194" s="1819"/>
      <c r="J194" s="1819"/>
      <c r="K194" s="1819"/>
      <c r="L194" s="1819"/>
      <c r="M194" s="1819"/>
      <c r="O194" s="77"/>
    </row>
    <row r="195" spans="1:15" s="93" customFormat="1" x14ac:dyDescent="0.2">
      <c r="A195" s="78"/>
      <c r="B195" s="82" t="s">
        <v>2467</v>
      </c>
      <c r="C195" s="78"/>
      <c r="D195" s="88"/>
      <c r="E195" s="86">
        <v>36174151137</v>
      </c>
      <c r="F195" s="1818">
        <v>894.23418549999997</v>
      </c>
      <c r="G195" s="1818">
        <v>172.4</v>
      </c>
      <c r="H195" s="1818">
        <v>721.83418549999999</v>
      </c>
      <c r="I195" s="1819"/>
      <c r="J195" s="1819"/>
      <c r="K195" s="1818">
        <v>1066.6391994000001</v>
      </c>
      <c r="L195" s="1818">
        <v>172.4</v>
      </c>
      <c r="M195" s="1818">
        <v>894.23919940000008</v>
      </c>
      <c r="O195" s="77"/>
    </row>
    <row r="196" spans="1:15" s="93" customFormat="1" x14ac:dyDescent="0.2">
      <c r="A196" s="78"/>
      <c r="B196" s="88"/>
      <c r="C196" s="78"/>
      <c r="D196" s="88"/>
      <c r="E196" s="78"/>
      <c r="F196" s="1819"/>
      <c r="G196" s="1819"/>
      <c r="H196" s="1819"/>
      <c r="I196" s="1819"/>
      <c r="J196" s="1819"/>
      <c r="K196" s="1819"/>
      <c r="L196" s="1819"/>
      <c r="M196" s="1819"/>
      <c r="O196" s="77"/>
    </row>
    <row r="197" spans="1:15" s="93" customFormat="1" x14ac:dyDescent="0.2">
      <c r="A197" s="78"/>
      <c r="B197" s="88"/>
      <c r="C197" s="78"/>
      <c r="D197" s="88"/>
      <c r="E197" s="78" t="s">
        <v>3066</v>
      </c>
      <c r="F197" s="1819">
        <f t="shared" ref="F197:M197" si="3">SUM(F193:F196)</f>
        <v>1719.2338009</v>
      </c>
      <c r="G197" s="1819">
        <f t="shared" si="3"/>
        <v>172.4</v>
      </c>
      <c r="H197" s="1819">
        <f t="shared" si="3"/>
        <v>1546.8338008999999</v>
      </c>
      <c r="I197" s="1819">
        <f t="shared" si="3"/>
        <v>0</v>
      </c>
      <c r="J197" s="1819">
        <f t="shared" si="3"/>
        <v>0</v>
      </c>
      <c r="K197" s="1819">
        <f t="shared" si="3"/>
        <v>1066.6391994000001</v>
      </c>
      <c r="L197" s="1819">
        <f t="shared" si="3"/>
        <v>172.4</v>
      </c>
      <c r="M197" s="1819">
        <f t="shared" si="3"/>
        <v>894.23919940000008</v>
      </c>
      <c r="O197" s="77"/>
    </row>
    <row r="198" spans="1:15" s="93" customFormat="1" x14ac:dyDescent="0.2">
      <c r="A198" s="78"/>
      <c r="B198" s="88"/>
      <c r="C198" s="78"/>
      <c r="D198" s="88"/>
      <c r="E198" s="78"/>
      <c r="F198" s="1819"/>
      <c r="G198" s="1819"/>
      <c r="H198" s="1819"/>
      <c r="I198" s="1819"/>
      <c r="J198" s="1819"/>
      <c r="K198" s="1819"/>
      <c r="L198" s="1819"/>
      <c r="M198" s="1819"/>
      <c r="O198" s="77"/>
    </row>
    <row r="199" spans="1:15" s="93" customFormat="1" x14ac:dyDescent="0.2">
      <c r="A199" s="78"/>
      <c r="B199" s="88"/>
      <c r="C199" s="78"/>
      <c r="D199" s="88"/>
      <c r="E199" s="78"/>
      <c r="F199" s="1819"/>
      <c r="G199" s="1819"/>
      <c r="H199" s="1819"/>
      <c r="I199" s="1819"/>
      <c r="J199" s="1819"/>
      <c r="K199" s="1819"/>
      <c r="L199" s="1819"/>
      <c r="M199" s="1819"/>
      <c r="O199" s="77"/>
    </row>
    <row r="200" spans="1:15" s="93" customFormat="1" x14ac:dyDescent="0.2">
      <c r="A200" s="78"/>
      <c r="B200" s="88"/>
      <c r="C200" s="78"/>
      <c r="D200" s="88"/>
      <c r="E200" s="1846" t="s">
        <v>3067</v>
      </c>
      <c r="F200" s="1819">
        <f t="shared" ref="F200:M200" si="4">+F197+F191+F57</f>
        <v>27198.973195758001</v>
      </c>
      <c r="G200" s="1819">
        <f t="shared" si="4"/>
        <v>2869.4223838046009</v>
      </c>
      <c r="H200" s="1819">
        <f t="shared" si="4"/>
        <v>24329.550811953392</v>
      </c>
      <c r="I200" s="1819">
        <f t="shared" si="4"/>
        <v>0</v>
      </c>
      <c r="J200" s="1819">
        <f t="shared" si="4"/>
        <v>0</v>
      </c>
      <c r="K200" s="1819">
        <f t="shared" si="4"/>
        <v>27132.323059733993</v>
      </c>
      <c r="L200" s="1819">
        <f t="shared" si="4"/>
        <v>2860.938709302568</v>
      </c>
      <c r="M200" s="1819">
        <f t="shared" si="4"/>
        <v>24271.384350431435</v>
      </c>
      <c r="O200" s="77"/>
    </row>
    <row r="201" spans="1:15" x14ac:dyDescent="0.2">
      <c r="A201" s="86"/>
      <c r="B201" s="82"/>
      <c r="C201" s="86"/>
      <c r="D201" s="82"/>
      <c r="E201" s="86"/>
      <c r="F201" s="1818"/>
      <c r="G201" s="1818"/>
      <c r="H201" s="1818"/>
      <c r="I201" s="82"/>
      <c r="J201" s="82"/>
      <c r="K201" s="82"/>
      <c r="L201" s="82"/>
      <c r="M201" s="82"/>
      <c r="O201" s="77"/>
    </row>
    <row r="202" spans="1:15" x14ac:dyDescent="0.2">
      <c r="A202" s="86"/>
      <c r="B202" s="82"/>
      <c r="C202" s="86"/>
      <c r="D202" s="82"/>
      <c r="E202" s="86"/>
      <c r="F202" s="1818"/>
      <c r="G202" s="1818"/>
      <c r="H202" s="1818"/>
      <c r="I202" s="82"/>
      <c r="J202" s="82"/>
      <c r="K202" s="82"/>
      <c r="L202" s="82"/>
      <c r="M202" s="82"/>
      <c r="O202" s="77"/>
    </row>
    <row r="203" spans="1:15" x14ac:dyDescent="0.2">
      <c r="A203" s="78" t="s">
        <v>379</v>
      </c>
      <c r="B203" s="10" t="s">
        <v>321</v>
      </c>
      <c r="C203" s="86"/>
      <c r="D203" s="82"/>
      <c r="E203" s="86"/>
      <c r="F203" s="1818"/>
      <c r="G203" s="1818"/>
      <c r="H203" s="1818"/>
      <c r="I203" s="82"/>
      <c r="J203" s="82"/>
      <c r="K203" s="82"/>
      <c r="L203" s="82"/>
      <c r="M203" s="82"/>
      <c r="O203" s="77"/>
    </row>
    <row r="204" spans="1:15" x14ac:dyDescent="0.2">
      <c r="A204" s="86"/>
      <c r="B204" s="82"/>
      <c r="C204" s="86"/>
      <c r="D204" s="82"/>
      <c r="E204" s="86"/>
      <c r="F204" s="1818"/>
      <c r="G204" s="1818"/>
      <c r="H204" s="1818"/>
      <c r="I204" s="82"/>
      <c r="J204" s="82"/>
      <c r="K204" s="82"/>
      <c r="L204" s="82"/>
      <c r="M204" s="82"/>
      <c r="O204" s="77"/>
    </row>
    <row r="205" spans="1:15" x14ac:dyDescent="0.2">
      <c r="A205" s="86"/>
      <c r="B205" s="82"/>
      <c r="C205" s="86"/>
      <c r="D205" s="82"/>
      <c r="E205" s="86"/>
      <c r="F205" s="1818"/>
      <c r="G205" s="1818"/>
      <c r="H205" s="1818"/>
      <c r="I205" s="82"/>
      <c r="J205" s="82"/>
      <c r="K205" s="82"/>
      <c r="L205" s="82"/>
      <c r="M205" s="82"/>
      <c r="O205" s="77"/>
    </row>
    <row r="206" spans="1:15" x14ac:dyDescent="0.2">
      <c r="A206" s="86"/>
      <c r="B206" s="82"/>
      <c r="C206" s="86"/>
      <c r="D206" s="82"/>
      <c r="E206" s="86"/>
      <c r="F206" s="1818"/>
      <c r="G206" s="1818"/>
      <c r="H206" s="1818"/>
      <c r="I206" s="82"/>
      <c r="J206" s="82"/>
      <c r="K206" s="82"/>
      <c r="L206" s="82"/>
      <c r="M206" s="82"/>
      <c r="O206" s="77"/>
    </row>
    <row r="207" spans="1:15" x14ac:dyDescent="0.2">
      <c r="A207" s="86"/>
      <c r="B207" s="82"/>
      <c r="C207" s="86"/>
      <c r="D207" s="82"/>
      <c r="E207" s="86"/>
      <c r="F207" s="1818"/>
      <c r="G207" s="1818"/>
      <c r="H207" s="1818"/>
      <c r="I207" s="82"/>
      <c r="J207" s="82"/>
      <c r="K207" s="82"/>
      <c r="L207" s="82"/>
      <c r="M207" s="82"/>
      <c r="O207" s="77"/>
    </row>
    <row r="208" spans="1:15" x14ac:dyDescent="0.2">
      <c r="A208" s="86"/>
      <c r="B208" s="82"/>
      <c r="C208" s="86"/>
      <c r="D208" s="82"/>
      <c r="E208" s="86"/>
      <c r="F208" s="1818"/>
      <c r="G208" s="1818"/>
      <c r="H208" s="1818"/>
      <c r="I208" s="82"/>
      <c r="J208" s="82"/>
      <c r="K208" s="82"/>
      <c r="L208" s="82"/>
      <c r="M208" s="82"/>
      <c r="O208" s="77"/>
    </row>
    <row r="209" spans="1:15" x14ac:dyDescent="0.2">
      <c r="A209" s="86"/>
      <c r="B209" s="82"/>
      <c r="C209" s="86"/>
      <c r="D209" s="82"/>
      <c r="E209" s="86"/>
      <c r="F209" s="1818"/>
      <c r="G209" s="1818"/>
      <c r="H209" s="1818"/>
      <c r="I209" s="82"/>
      <c r="J209" s="82"/>
      <c r="K209" s="82"/>
      <c r="L209" s="82"/>
      <c r="M209" s="82"/>
      <c r="O209" s="77"/>
    </row>
    <row r="210" spans="1:15" x14ac:dyDescent="0.2">
      <c r="A210" s="86"/>
      <c r="B210" s="82"/>
      <c r="C210" s="86"/>
      <c r="D210" s="82"/>
      <c r="E210" s="86"/>
      <c r="F210" s="1818"/>
      <c r="G210" s="1818"/>
      <c r="H210" s="1818"/>
      <c r="I210" s="82"/>
      <c r="J210" s="82"/>
      <c r="K210" s="82"/>
      <c r="L210" s="82"/>
      <c r="M210" s="82"/>
      <c r="O210" s="77"/>
    </row>
    <row r="211" spans="1:15" x14ac:dyDescent="0.2">
      <c r="A211" s="86"/>
      <c r="B211" s="82"/>
      <c r="C211" s="86"/>
      <c r="D211" s="82"/>
      <c r="E211" s="86"/>
      <c r="F211" s="1818"/>
      <c r="G211" s="1818"/>
      <c r="H211" s="1818"/>
      <c r="I211" s="82"/>
      <c r="J211" s="82"/>
      <c r="K211" s="82"/>
      <c r="L211" s="82"/>
      <c r="M211" s="82"/>
      <c r="O211" s="77"/>
    </row>
    <row r="212" spans="1:15" x14ac:dyDescent="0.2">
      <c r="A212" s="86"/>
      <c r="B212" s="82"/>
      <c r="C212" s="86"/>
      <c r="D212" s="82"/>
      <c r="E212" s="86"/>
      <c r="F212" s="1818"/>
      <c r="G212" s="1818"/>
      <c r="H212" s="1818"/>
      <c r="I212" s="82"/>
      <c r="J212" s="82"/>
      <c r="K212" s="82"/>
      <c r="L212" s="82"/>
      <c r="M212" s="82"/>
      <c r="O212" s="77"/>
    </row>
    <row r="213" spans="1:15" x14ac:dyDescent="0.2">
      <c r="A213" s="86"/>
      <c r="B213" s="82"/>
      <c r="C213" s="86"/>
      <c r="D213" s="82"/>
      <c r="E213" s="86"/>
      <c r="F213" s="1818"/>
      <c r="G213" s="1818"/>
      <c r="H213" s="1818"/>
      <c r="I213" s="82"/>
      <c r="J213" s="82"/>
      <c r="K213" s="82"/>
      <c r="L213" s="82"/>
      <c r="M213" s="82"/>
      <c r="O213" s="77"/>
    </row>
    <row r="214" spans="1:15" x14ac:dyDescent="0.2">
      <c r="F214" s="1852"/>
      <c r="G214" s="1852"/>
      <c r="H214" s="1852"/>
      <c r="O214" s="77"/>
    </row>
    <row r="215" spans="1:15" x14ac:dyDescent="0.2">
      <c r="O215" s="77"/>
    </row>
    <row r="216" spans="1:15" x14ac:dyDescent="0.2">
      <c r="O216" s="77"/>
    </row>
    <row r="217" spans="1:15" x14ac:dyDescent="0.2">
      <c r="O217" s="77"/>
    </row>
    <row r="218" spans="1:15" x14ac:dyDescent="0.2">
      <c r="O218" s="77"/>
    </row>
    <row r="219" spans="1:15" x14ac:dyDescent="0.2">
      <c r="O219" s="77"/>
    </row>
    <row r="220" spans="1:15" x14ac:dyDescent="0.2">
      <c r="O220" s="77"/>
    </row>
    <row r="221" spans="1:15" x14ac:dyDescent="0.2">
      <c r="O221" s="77"/>
    </row>
    <row r="222" spans="1:15" x14ac:dyDescent="0.2">
      <c r="O222" s="77"/>
    </row>
    <row r="223" spans="1:15" x14ac:dyDescent="0.2">
      <c r="O223" s="77"/>
    </row>
    <row r="224" spans="1:15" x14ac:dyDescent="0.2">
      <c r="O224" s="77"/>
    </row>
    <row r="225" spans="15:15" x14ac:dyDescent="0.2">
      <c r="O225" s="77"/>
    </row>
    <row r="226" spans="15:15" x14ac:dyDescent="0.2">
      <c r="O226" s="77"/>
    </row>
    <row r="227" spans="15:15" x14ac:dyDescent="0.2">
      <c r="O227" s="77"/>
    </row>
    <row r="228" spans="15:15" x14ac:dyDescent="0.2">
      <c r="O228" s="77"/>
    </row>
    <row r="229" spans="15:15" x14ac:dyDescent="0.2">
      <c r="O229" s="77"/>
    </row>
    <row r="230" spans="15:15" x14ac:dyDescent="0.2">
      <c r="O230" s="77"/>
    </row>
    <row r="231" spans="15:15" x14ac:dyDescent="0.2">
      <c r="O231" s="77"/>
    </row>
    <row r="232" spans="15:15" x14ac:dyDescent="0.2">
      <c r="O232" s="77"/>
    </row>
    <row r="233" spans="15:15" x14ac:dyDescent="0.2">
      <c r="O233" s="77"/>
    </row>
    <row r="234" spans="15:15" x14ac:dyDescent="0.2">
      <c r="O234" s="77"/>
    </row>
    <row r="235" spans="15:15" x14ac:dyDescent="0.2">
      <c r="O235" s="77"/>
    </row>
    <row r="236" spans="15:15" x14ac:dyDescent="0.2">
      <c r="O236" s="77"/>
    </row>
    <row r="237" spans="15:15" x14ac:dyDescent="0.2">
      <c r="O237" s="77"/>
    </row>
    <row r="238" spans="15:15" x14ac:dyDescent="0.2">
      <c r="O238" s="77"/>
    </row>
    <row r="239" spans="15:15" x14ac:dyDescent="0.2">
      <c r="O239" s="77"/>
    </row>
    <row r="240" spans="15:15" x14ac:dyDescent="0.2">
      <c r="O240" s="77"/>
    </row>
    <row r="241" spans="15:15" x14ac:dyDescent="0.2">
      <c r="O241" s="77"/>
    </row>
    <row r="242" spans="15:15" x14ac:dyDescent="0.2">
      <c r="O242" s="77"/>
    </row>
    <row r="243" spans="15:15" x14ac:dyDescent="0.2">
      <c r="O243" s="77"/>
    </row>
    <row r="244" spans="15:15" x14ac:dyDescent="0.2">
      <c r="O244" s="77"/>
    </row>
    <row r="245" spans="15:15" x14ac:dyDescent="0.2">
      <c r="O245" s="77"/>
    </row>
    <row r="246" spans="15:15" x14ac:dyDescent="0.2">
      <c r="O246" s="77"/>
    </row>
    <row r="247" spans="15:15" x14ac:dyDescent="0.2">
      <c r="O247" s="77"/>
    </row>
    <row r="248" spans="15:15" x14ac:dyDescent="0.2">
      <c r="O248" s="77"/>
    </row>
    <row r="249" spans="15:15" x14ac:dyDescent="0.2">
      <c r="O249" s="77"/>
    </row>
    <row r="250" spans="15:15" x14ac:dyDescent="0.2">
      <c r="O250" s="77"/>
    </row>
    <row r="251" spans="15:15" x14ac:dyDescent="0.2">
      <c r="O251" s="77"/>
    </row>
    <row r="252" spans="15:15" x14ac:dyDescent="0.2">
      <c r="O252" s="77"/>
    </row>
    <row r="253" spans="15:15" x14ac:dyDescent="0.2">
      <c r="O253" s="77"/>
    </row>
    <row r="254" spans="15:15" x14ac:dyDescent="0.2">
      <c r="O254" s="77"/>
    </row>
    <row r="255" spans="15:15" x14ac:dyDescent="0.2">
      <c r="O255" s="77"/>
    </row>
    <row r="256" spans="15:15" x14ac:dyDescent="0.2">
      <c r="O256" s="77"/>
    </row>
    <row r="257" spans="15:15" x14ac:dyDescent="0.2">
      <c r="O257" s="77"/>
    </row>
    <row r="258" spans="15:15" x14ac:dyDescent="0.2">
      <c r="O258" s="77"/>
    </row>
    <row r="259" spans="15:15" x14ac:dyDescent="0.2">
      <c r="O259" s="77"/>
    </row>
    <row r="260" spans="15:15" x14ac:dyDescent="0.2">
      <c r="O260" s="77"/>
    </row>
    <row r="261" spans="15:15" x14ac:dyDescent="0.2">
      <c r="O261" s="77"/>
    </row>
    <row r="262" spans="15:15" x14ac:dyDescent="0.2">
      <c r="O262" s="77"/>
    </row>
    <row r="263" spans="15:15" x14ac:dyDescent="0.2">
      <c r="O263" s="77"/>
    </row>
    <row r="264" spans="15:15" x14ac:dyDescent="0.2">
      <c r="O264" s="77"/>
    </row>
    <row r="265" spans="15:15" x14ac:dyDescent="0.2">
      <c r="O265" s="77"/>
    </row>
    <row r="266" spans="15:15" x14ac:dyDescent="0.2">
      <c r="O266" s="77"/>
    </row>
    <row r="267" spans="15:15" x14ac:dyDescent="0.2">
      <c r="O267" s="77"/>
    </row>
    <row r="268" spans="15:15" x14ac:dyDescent="0.2">
      <c r="O268" s="77"/>
    </row>
    <row r="269" spans="15:15" x14ac:dyDescent="0.2">
      <c r="O269" s="77"/>
    </row>
    <row r="270" spans="15:15" x14ac:dyDescent="0.2">
      <c r="O270" s="77"/>
    </row>
    <row r="271" spans="15:15" x14ac:dyDescent="0.2">
      <c r="O271" s="77"/>
    </row>
    <row r="272" spans="15:15" x14ac:dyDescent="0.2">
      <c r="O272" s="77"/>
    </row>
    <row r="273" spans="15:15" x14ac:dyDescent="0.2">
      <c r="O273" s="77"/>
    </row>
    <row r="274" spans="15:15" x14ac:dyDescent="0.2">
      <c r="O274" s="77"/>
    </row>
    <row r="275" spans="15:15" x14ac:dyDescent="0.2">
      <c r="O275" s="77"/>
    </row>
    <row r="276" spans="15:15" x14ac:dyDescent="0.2">
      <c r="O276" s="77"/>
    </row>
    <row r="277" spans="15:15" x14ac:dyDescent="0.2">
      <c r="O277" s="77"/>
    </row>
    <row r="278" spans="15:15" x14ac:dyDescent="0.2">
      <c r="O278" s="77"/>
    </row>
    <row r="279" spans="15:15" x14ac:dyDescent="0.2">
      <c r="O279" s="77"/>
    </row>
    <row r="280" spans="15:15" x14ac:dyDescent="0.2">
      <c r="O280" s="77"/>
    </row>
    <row r="281" spans="15:15" x14ac:dyDescent="0.2">
      <c r="O281" s="77"/>
    </row>
    <row r="282" spans="15:15" x14ac:dyDescent="0.2">
      <c r="O282" s="77"/>
    </row>
    <row r="283" spans="15:15" x14ac:dyDescent="0.2">
      <c r="O283" s="77"/>
    </row>
    <row r="284" spans="15:15" x14ac:dyDescent="0.2">
      <c r="O284" s="77"/>
    </row>
    <row r="285" spans="15:15" x14ac:dyDescent="0.2">
      <c r="O285" s="77"/>
    </row>
    <row r="286" spans="15:15" x14ac:dyDescent="0.2">
      <c r="O286" s="77"/>
    </row>
    <row r="287" spans="15:15" x14ac:dyDescent="0.2">
      <c r="O287" s="77"/>
    </row>
    <row r="288" spans="15:15" x14ac:dyDescent="0.2">
      <c r="O288" s="77"/>
    </row>
    <row r="289" spans="15:15" x14ac:dyDescent="0.2">
      <c r="O289" s="77"/>
    </row>
    <row r="290" spans="15:15" x14ac:dyDescent="0.2">
      <c r="O290" s="77"/>
    </row>
    <row r="291" spans="15:15" x14ac:dyDescent="0.2">
      <c r="O291" s="77"/>
    </row>
    <row r="292" spans="15:15" x14ac:dyDescent="0.2">
      <c r="O292" s="77"/>
    </row>
  </sheetData>
  <mergeCells count="11">
    <mergeCell ref="A1:M1"/>
    <mergeCell ref="A6:K6"/>
    <mergeCell ref="A7:K7"/>
    <mergeCell ref="A9:A12"/>
    <mergeCell ref="B9:B12"/>
    <mergeCell ref="C9:C12"/>
    <mergeCell ref="D9:D12"/>
    <mergeCell ref="E9:E12"/>
    <mergeCell ref="F9:H9"/>
    <mergeCell ref="K9:M9"/>
    <mergeCell ref="B2:M2"/>
  </mergeCells>
  <conditionalFormatting sqref="O1:O1048576 E1:E1048576">
    <cfRule type="duplicateValues" dxfId="76" priority="3"/>
  </conditionalFormatting>
  <conditionalFormatting sqref="O13:O292">
    <cfRule type="duplicateValues" dxfId="75" priority="57"/>
  </conditionalFormatting>
  <printOptions horizontalCentered="1"/>
  <pageMargins left="0.78740157480314965" right="0.39370078740157483" top="0.78740157480314965" bottom="0.19685039370078741" header="0.31496062992125984" footer="0.31496062992125984"/>
  <pageSetup paperSize="9" scale="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2:M22"/>
  <sheetViews>
    <sheetView showGridLines="0" view="pageBreakPreview" zoomScale="80" zoomScaleNormal="80" zoomScaleSheetLayoutView="80" workbookViewId="0">
      <selection activeCell="M19" sqref="M19"/>
    </sheetView>
  </sheetViews>
  <sheetFormatPr defaultColWidth="9.140625" defaultRowHeight="15" x14ac:dyDescent="0.2"/>
  <cols>
    <col min="1" max="1" width="5.7109375" style="77" customWidth="1"/>
    <col min="2" max="2" width="30.5703125" style="72" customWidth="1"/>
    <col min="3" max="3" width="12.85546875" style="72" customWidth="1"/>
    <col min="4" max="4" width="13.5703125" style="72" customWidth="1"/>
    <col min="5" max="5" width="47.85546875" style="77" bestFit="1" customWidth="1"/>
    <col min="6" max="6" width="18" style="72" bestFit="1" customWidth="1"/>
    <col min="7" max="7" width="18.140625" style="72" customWidth="1"/>
    <col min="8" max="8" width="18" style="72" customWidth="1"/>
    <col min="9" max="9" width="18" style="72" hidden="1" customWidth="1"/>
    <col min="10" max="10" width="17.5703125" style="72" hidden="1" customWidth="1"/>
    <col min="11" max="13" width="19.5703125" style="72" customWidth="1"/>
    <col min="14" max="14" width="16.5703125" style="72" bestFit="1" customWidth="1"/>
    <col min="15" max="16" width="16.5703125" style="72" customWidth="1"/>
    <col min="17" max="17" width="16.140625" style="72" bestFit="1" customWidth="1"/>
    <col min="18" max="18" width="14.7109375" style="72" bestFit="1" customWidth="1"/>
    <col min="19" max="19" width="15.140625" style="72" bestFit="1" customWidth="1"/>
    <col min="20" max="16384" width="9.140625" style="72"/>
  </cols>
  <sheetData>
    <row r="2" spans="1:13" x14ac:dyDescent="0.2">
      <c r="B2" s="1875" t="s">
        <v>377</v>
      </c>
      <c r="C2" s="1875"/>
      <c r="D2" s="1875"/>
      <c r="E2" s="1875"/>
      <c r="F2" s="1875"/>
      <c r="G2" s="1875"/>
      <c r="H2" s="1875"/>
      <c r="I2" s="1875"/>
      <c r="J2" s="1875"/>
      <c r="K2" s="1875"/>
      <c r="L2" s="1875"/>
      <c r="M2" s="1875"/>
    </row>
    <row r="3" spans="1:13" x14ac:dyDescent="0.2">
      <c r="F3" s="1" t="s">
        <v>294</v>
      </c>
    </row>
    <row r="5" spans="1:13" x14ac:dyDescent="0.2">
      <c r="A5" s="1887" t="s">
        <v>126</v>
      </c>
      <c r="B5" s="1887"/>
      <c r="C5" s="1887"/>
      <c r="D5" s="1887"/>
      <c r="E5" s="1887"/>
      <c r="F5" s="1887"/>
      <c r="G5" s="1887"/>
      <c r="H5" s="1887"/>
      <c r="I5" s="1887"/>
      <c r="J5" s="1887"/>
      <c r="K5" s="1887"/>
      <c r="L5" s="1887"/>
      <c r="M5" s="1887"/>
    </row>
    <row r="6" spans="1:13" s="95" customFormat="1" x14ac:dyDescent="0.2">
      <c r="A6" s="91" t="s">
        <v>128</v>
      </c>
      <c r="B6" s="91"/>
      <c r="C6" s="91"/>
      <c r="D6" s="91"/>
      <c r="E6" s="91"/>
      <c r="F6" s="91"/>
      <c r="G6" s="91"/>
      <c r="H6" s="91"/>
      <c r="I6" s="91"/>
      <c r="J6" s="91"/>
      <c r="K6" s="91"/>
      <c r="L6" s="94"/>
      <c r="M6" s="94"/>
    </row>
    <row r="7" spans="1:13" s="95" customFormat="1" x14ac:dyDescent="0.2">
      <c r="A7" s="91"/>
      <c r="B7" s="91"/>
      <c r="C7" s="91"/>
      <c r="D7" s="91"/>
      <c r="E7" s="91"/>
      <c r="F7" s="91"/>
      <c r="G7" s="91"/>
      <c r="H7" s="91"/>
      <c r="I7" s="91"/>
      <c r="J7" s="91"/>
      <c r="K7" s="91"/>
      <c r="L7" s="94"/>
      <c r="M7" s="94"/>
    </row>
    <row r="8" spans="1:13" x14ac:dyDescent="0.2">
      <c r="A8" s="1874" t="s">
        <v>3</v>
      </c>
      <c r="B8" s="1874" t="s">
        <v>6</v>
      </c>
      <c r="C8" s="1874" t="s">
        <v>66</v>
      </c>
      <c r="D8" s="1874" t="s">
        <v>65</v>
      </c>
      <c r="E8" s="1874" t="s">
        <v>26</v>
      </c>
      <c r="F8" s="1874" t="str">
        <f>'5.1'!F9:H9</f>
        <v>Figures as at the end of current reporting period</v>
      </c>
      <c r="G8" s="1874"/>
      <c r="H8" s="1874"/>
      <c r="I8" s="6" t="s">
        <v>51</v>
      </c>
      <c r="J8" s="6" t="s">
        <v>59</v>
      </c>
      <c r="K8" s="1885" t="str">
        <f>'5.1'!K9:M9</f>
        <v>Figures as at the end of previous reporting period</v>
      </c>
      <c r="L8" s="1885"/>
      <c r="M8" s="1885"/>
    </row>
    <row r="9" spans="1:13" ht="85.5" x14ac:dyDescent="0.2">
      <c r="A9" s="1874"/>
      <c r="B9" s="1874"/>
      <c r="C9" s="1874"/>
      <c r="D9" s="1874"/>
      <c r="E9" s="1874"/>
      <c r="F9" s="6" t="s">
        <v>73</v>
      </c>
      <c r="G9" s="6" t="s">
        <v>71</v>
      </c>
      <c r="H9" s="6" t="s">
        <v>72</v>
      </c>
      <c r="I9" s="6"/>
      <c r="J9" s="6"/>
      <c r="K9" s="6" t="str">
        <f t="shared" ref="K9:M10" si="0">F9</f>
        <v>Total Long Term Borrowings</v>
      </c>
      <c r="L9" s="6" t="str">
        <f t="shared" si="0"/>
        <v>Current Maturities of Long term borrowings i.e. other Current Liabilites</v>
      </c>
      <c r="M9" s="6" t="str">
        <f t="shared" si="0"/>
        <v>Non Current Liabilities - Long Term Borrowings</v>
      </c>
    </row>
    <row r="10" spans="1:13" x14ac:dyDescent="0.2">
      <c r="A10" s="1874"/>
      <c r="B10" s="1874"/>
      <c r="C10" s="1874"/>
      <c r="D10" s="1874"/>
      <c r="E10" s="1874"/>
      <c r="F10" s="6" t="s">
        <v>28</v>
      </c>
      <c r="G10" s="6" t="s">
        <v>29</v>
      </c>
      <c r="H10" s="6" t="s">
        <v>74</v>
      </c>
      <c r="I10" s="6"/>
      <c r="J10" s="6"/>
      <c r="K10" s="53" t="str">
        <f t="shared" si="0"/>
        <v>(A)</v>
      </c>
      <c r="L10" s="6" t="str">
        <f t="shared" si="0"/>
        <v>(B)</v>
      </c>
      <c r="M10" s="6" t="str">
        <f t="shared" si="0"/>
        <v>(C)=(A)-(B)</v>
      </c>
    </row>
    <row r="11" spans="1:13" x14ac:dyDescent="0.2">
      <c r="A11" s="1874"/>
      <c r="B11" s="1874"/>
      <c r="C11" s="1874"/>
      <c r="D11" s="1874"/>
      <c r="E11" s="1874"/>
      <c r="F11" s="53" t="s">
        <v>1</v>
      </c>
      <c r="G11" s="53" t="str">
        <f>F11</f>
        <v>Rs.</v>
      </c>
      <c r="H11" s="53" t="str">
        <f>G11</f>
        <v>Rs.</v>
      </c>
      <c r="I11" s="53" t="s">
        <v>1</v>
      </c>
      <c r="J11" s="53" t="s">
        <v>1</v>
      </c>
      <c r="K11" s="53" t="str">
        <f>'4'!E8</f>
        <v>Rs.</v>
      </c>
      <c r="L11" s="53" t="str">
        <f>K11</f>
        <v>Rs.</v>
      </c>
      <c r="M11" s="53" t="str">
        <f>L11</f>
        <v>Rs.</v>
      </c>
    </row>
    <row r="12" spans="1:13" x14ac:dyDescent="0.2">
      <c r="A12" s="86"/>
      <c r="B12" s="85"/>
      <c r="C12" s="89"/>
      <c r="D12" s="89"/>
      <c r="E12" s="78"/>
      <c r="F12" s="82"/>
      <c r="G12" s="82"/>
      <c r="H12" s="82"/>
      <c r="I12" s="82"/>
      <c r="J12" s="82"/>
      <c r="K12" s="82"/>
      <c r="L12" s="82"/>
      <c r="M12" s="82"/>
    </row>
    <row r="13" spans="1:13" x14ac:dyDescent="0.2">
      <c r="A13" s="86">
        <v>1</v>
      </c>
      <c r="B13" s="85" t="s">
        <v>2463</v>
      </c>
      <c r="C13" s="83"/>
      <c r="D13" s="83"/>
      <c r="E13" s="80" t="s">
        <v>2462</v>
      </c>
      <c r="F13" s="1840">
        <v>41.243363357999996</v>
      </c>
      <c r="G13" s="1840">
        <v>41.24</v>
      </c>
      <c r="H13" s="1840">
        <v>3.3633579999943208E-3</v>
      </c>
      <c r="I13" s="1842"/>
      <c r="J13" s="1842"/>
      <c r="K13" s="1840">
        <v>13.2245039</v>
      </c>
      <c r="L13" s="1840">
        <v>13.2245039</v>
      </c>
      <c r="M13" s="1840">
        <v>0</v>
      </c>
    </row>
    <row r="14" spans="1:13" x14ac:dyDescent="0.2">
      <c r="A14" s="84">
        <v>2</v>
      </c>
      <c r="B14" s="85" t="s">
        <v>2459</v>
      </c>
      <c r="C14" s="83"/>
      <c r="D14" s="83"/>
      <c r="E14" s="80" t="s">
        <v>2458</v>
      </c>
      <c r="F14" s="1840">
        <v>259.04657539999999</v>
      </c>
      <c r="G14" s="1840">
        <v>15.5035446</v>
      </c>
      <c r="H14" s="1840">
        <v>243.5430308</v>
      </c>
      <c r="I14" s="1842"/>
      <c r="J14" s="1842"/>
      <c r="K14" s="1840">
        <v>270.909092736925</v>
      </c>
      <c r="L14" s="1840">
        <v>15.5035446</v>
      </c>
      <c r="M14" s="1840">
        <v>255.40554813692501</v>
      </c>
    </row>
    <row r="15" spans="1:13" x14ac:dyDescent="0.2">
      <c r="A15" s="84">
        <v>3</v>
      </c>
      <c r="B15" s="82" t="s">
        <v>2453</v>
      </c>
      <c r="C15" s="83"/>
      <c r="D15" s="83"/>
      <c r="E15" s="80"/>
      <c r="F15" s="1818">
        <v>149.05813169999999</v>
      </c>
      <c r="G15" s="1818">
        <v>4.2996131999999996</v>
      </c>
      <c r="H15" s="1818">
        <v>144.75851849999998</v>
      </c>
      <c r="I15" s="1842"/>
      <c r="J15" s="1842"/>
      <c r="K15" s="1818">
        <v>160.77756410000001</v>
      </c>
      <c r="L15" s="1818">
        <v>4.2996131999999996</v>
      </c>
      <c r="M15" s="1818">
        <v>156.4779509</v>
      </c>
    </row>
    <row r="16" spans="1:13" x14ac:dyDescent="0.2">
      <c r="A16" s="84">
        <v>4</v>
      </c>
      <c r="B16" s="82" t="s">
        <v>2452</v>
      </c>
      <c r="C16" s="83"/>
      <c r="D16" s="83"/>
      <c r="E16" s="80"/>
      <c r="F16" s="1818">
        <v>6.6902387000000001</v>
      </c>
      <c r="G16" s="1818">
        <v>0</v>
      </c>
      <c r="H16" s="1818">
        <v>6.6902387000000001</v>
      </c>
      <c r="I16" s="1842"/>
      <c r="J16" s="1842"/>
      <c r="K16" s="1818">
        <v>4.0669728000000003</v>
      </c>
      <c r="L16" s="1818">
        <v>0</v>
      </c>
      <c r="M16" s="1818">
        <v>4.0669728000000003</v>
      </c>
    </row>
    <row r="17" spans="1:13" x14ac:dyDescent="0.2">
      <c r="A17" s="84">
        <v>3</v>
      </c>
      <c r="B17" s="1839" t="s">
        <v>3077</v>
      </c>
      <c r="C17" s="1849"/>
      <c r="D17" s="1849"/>
      <c r="E17" s="1862"/>
      <c r="F17" s="81"/>
      <c r="G17" s="81"/>
      <c r="H17" s="81"/>
      <c r="I17" s="82"/>
      <c r="J17" s="82"/>
      <c r="K17" s="81">
        <v>110.30695780000001</v>
      </c>
      <c r="L17" s="81">
        <v>110.31</v>
      </c>
      <c r="M17" s="81">
        <v>-3.0421999999958871E-3</v>
      </c>
    </row>
    <row r="18" spans="1:13" x14ac:dyDescent="0.2">
      <c r="A18" s="84"/>
      <c r="B18" s="85" t="s">
        <v>155</v>
      </c>
      <c r="C18" s="83"/>
      <c r="D18" s="83"/>
      <c r="E18" s="80"/>
      <c r="F18" s="81"/>
      <c r="G18" s="81"/>
      <c r="H18" s="81"/>
      <c r="I18" s="82"/>
      <c r="J18" s="82"/>
      <c r="K18" s="81"/>
      <c r="L18" s="81"/>
      <c r="M18" s="81"/>
    </row>
    <row r="19" spans="1:13" x14ac:dyDescent="0.2">
      <c r="A19" s="86"/>
      <c r="B19" s="82" t="s">
        <v>155</v>
      </c>
      <c r="C19" s="83"/>
      <c r="D19" s="83"/>
      <c r="E19" s="80" t="s">
        <v>7</v>
      </c>
      <c r="F19" s="1841">
        <f>SUM(F13:F18)</f>
        <v>456.038309158</v>
      </c>
      <c r="G19" s="1841">
        <f t="shared" ref="G19:M19" si="1">SUM(G13:G18)</f>
        <v>61.043157800000003</v>
      </c>
      <c r="H19" s="1855">
        <f t="shared" si="1"/>
        <v>394.99515135799999</v>
      </c>
      <c r="I19" s="1841">
        <f t="shared" si="1"/>
        <v>0</v>
      </c>
      <c r="J19" s="1841">
        <f t="shared" si="1"/>
        <v>0</v>
      </c>
      <c r="K19" s="1841">
        <f t="shared" si="1"/>
        <v>559.28509133692501</v>
      </c>
      <c r="L19" s="1841">
        <f t="shared" si="1"/>
        <v>143.33766170000001</v>
      </c>
      <c r="M19" s="1841">
        <f t="shared" si="1"/>
        <v>415.94742963692499</v>
      </c>
    </row>
    <row r="20" spans="1:13" x14ac:dyDescent="0.2">
      <c r="A20" s="78"/>
      <c r="B20" s="79"/>
      <c r="C20" s="83"/>
      <c r="D20" s="83"/>
      <c r="E20" s="80"/>
      <c r="F20" s="81"/>
      <c r="G20" s="81"/>
      <c r="H20" s="81"/>
      <c r="I20" s="90"/>
      <c r="J20" s="90"/>
      <c r="K20" s="82"/>
      <c r="L20" s="82"/>
      <c r="M20" s="81"/>
    </row>
    <row r="21" spans="1:13" x14ac:dyDescent="0.2">
      <c r="A21" s="91"/>
      <c r="E21" s="72"/>
      <c r="G21" s="92"/>
      <c r="H21" s="92"/>
      <c r="I21" s="92"/>
      <c r="J21" s="92"/>
      <c r="K21" s="92"/>
    </row>
    <row r="22" spans="1:13" x14ac:dyDescent="0.2">
      <c r="A22" s="221" t="s">
        <v>379</v>
      </c>
      <c r="B22" s="3" t="s">
        <v>321</v>
      </c>
    </row>
  </sheetData>
  <mergeCells count="9">
    <mergeCell ref="B2:M2"/>
    <mergeCell ref="F8:H8"/>
    <mergeCell ref="A5:M5"/>
    <mergeCell ref="C8:C11"/>
    <mergeCell ref="D8:D11"/>
    <mergeCell ref="K8:M8"/>
    <mergeCell ref="A8:A11"/>
    <mergeCell ref="B8:B11"/>
    <mergeCell ref="E8:E11"/>
  </mergeCells>
  <printOptions horizontalCentered="1"/>
  <pageMargins left="0.78740157480314965" right="0.39370078740157483" top="0.78740157480314965" bottom="0.19685039370078741" header="0.31496062992125984" footer="0.31496062992125984"/>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I32"/>
  <sheetViews>
    <sheetView showGridLines="0" view="pageBreakPreview" zoomScale="80" zoomScaleSheetLayoutView="80" zoomScalePageLayoutView="80" workbookViewId="0">
      <selection activeCell="E29" sqref="E29"/>
    </sheetView>
  </sheetViews>
  <sheetFormatPr defaultColWidth="9.140625" defaultRowHeight="15" x14ac:dyDescent="0.2"/>
  <cols>
    <col min="1" max="1" width="9" style="77" customWidth="1"/>
    <col min="2" max="2" width="28.42578125" style="72" customWidth="1"/>
    <col min="3" max="3" width="11" style="77" customWidth="1"/>
    <col min="4" max="4" width="24.7109375" style="72" customWidth="1"/>
    <col min="5" max="5" width="26.7109375" style="72" customWidth="1"/>
    <col min="6" max="9" width="15.140625" style="72" bestFit="1" customWidth="1"/>
    <col min="10" max="16384" width="9.140625" style="72"/>
  </cols>
  <sheetData>
    <row r="2" spans="1:7" x14ac:dyDescent="0.2">
      <c r="A2" s="1875" t="s">
        <v>377</v>
      </c>
      <c r="B2" s="1875"/>
      <c r="C2" s="1875"/>
      <c r="D2" s="1875"/>
      <c r="E2" s="1875"/>
    </row>
    <row r="3" spans="1:7" x14ac:dyDescent="0.2">
      <c r="C3" s="1" t="s">
        <v>294</v>
      </c>
    </row>
    <row r="6" spans="1:7" x14ac:dyDescent="0.2">
      <c r="A6" s="73" t="s">
        <v>129</v>
      </c>
    </row>
    <row r="7" spans="1:7" x14ac:dyDescent="0.2">
      <c r="A7" s="222"/>
      <c r="E7" s="221"/>
    </row>
    <row r="8" spans="1:7" ht="28.5" x14ac:dyDescent="0.2">
      <c r="A8" s="1874" t="s">
        <v>3</v>
      </c>
      <c r="B8" s="1874" t="s">
        <v>6</v>
      </c>
      <c r="C8" s="1874" t="s">
        <v>8</v>
      </c>
      <c r="D8" s="106" t="s">
        <v>149</v>
      </c>
      <c r="E8" s="106" t="s">
        <v>150</v>
      </c>
    </row>
    <row r="9" spans="1:7" x14ac:dyDescent="0.2">
      <c r="A9" s="1874"/>
      <c r="B9" s="1874"/>
      <c r="C9" s="1874"/>
      <c r="D9" s="6" t="s">
        <v>1</v>
      </c>
      <c r="E9" s="6" t="s">
        <v>1</v>
      </c>
    </row>
    <row r="10" spans="1:7" x14ac:dyDescent="0.2">
      <c r="A10" s="86">
        <v>1</v>
      </c>
      <c r="B10" s="85" t="s">
        <v>306</v>
      </c>
      <c r="C10" s="96"/>
      <c r="D10" s="14">
        <v>0</v>
      </c>
      <c r="E10" s="14">
        <v>0</v>
      </c>
    </row>
    <row r="11" spans="1:7" x14ac:dyDescent="0.2">
      <c r="A11" s="86"/>
      <c r="B11" s="82"/>
      <c r="C11" s="97"/>
      <c r="D11" s="98"/>
      <c r="E11" s="98"/>
    </row>
    <row r="12" spans="1:7" x14ac:dyDescent="0.2">
      <c r="A12" s="86">
        <v>2</v>
      </c>
      <c r="B12" s="82" t="s">
        <v>305</v>
      </c>
      <c r="C12" s="99"/>
      <c r="D12" s="14"/>
      <c r="E12" s="14"/>
    </row>
    <row r="13" spans="1:7" x14ac:dyDescent="0.2">
      <c r="A13" s="90"/>
      <c r="B13" s="82" t="s">
        <v>3018</v>
      </c>
      <c r="C13" s="99"/>
      <c r="D13" s="42">
        <f>+'BalanceSheet and P&amp;L 23-24'!D296</f>
        <v>289.71240933900003</v>
      </c>
      <c r="E13" s="42">
        <f>+'BalanceSheet and P&amp;L 23-24'!E296</f>
        <v>289.46240933900003</v>
      </c>
      <c r="G13" s="64"/>
    </row>
    <row r="14" spans="1:7" x14ac:dyDescent="0.2">
      <c r="A14" s="90"/>
      <c r="B14" s="169" t="s">
        <v>3017</v>
      </c>
      <c r="C14" s="197"/>
      <c r="D14" s="42">
        <f>+'BalanceSheet and P&amp;L 23-24'!D294</f>
        <v>560.20862350000004</v>
      </c>
      <c r="E14" s="42">
        <f>+'BalanceSheet and P&amp;L 23-24'!E294</f>
        <v>365.21133279999998</v>
      </c>
    </row>
    <row r="15" spans="1:7" x14ac:dyDescent="0.2">
      <c r="A15" s="90"/>
      <c r="B15" s="169"/>
      <c r="C15" s="197"/>
      <c r="D15" s="14"/>
      <c r="E15" s="14"/>
    </row>
    <row r="16" spans="1:7" x14ac:dyDescent="0.2">
      <c r="A16" s="198"/>
      <c r="B16" s="199" t="s">
        <v>7</v>
      </c>
      <c r="C16" s="199"/>
      <c r="D16" s="1863">
        <f>SUM(D10:D14)</f>
        <v>849.92103283900008</v>
      </c>
      <c r="E16" s="1863">
        <f>SUM(E10:E14)</f>
        <v>654.67374213900007</v>
      </c>
    </row>
    <row r="17" spans="1:9" x14ac:dyDescent="0.2">
      <c r="A17" s="102"/>
      <c r="B17" s="194"/>
      <c r="C17" s="194"/>
      <c r="D17" s="194"/>
      <c r="E17" s="194"/>
    </row>
    <row r="19" spans="1:9" x14ac:dyDescent="0.2">
      <c r="A19" s="1887" t="s">
        <v>130</v>
      </c>
      <c r="B19" s="1887"/>
      <c r="C19" s="1887"/>
      <c r="D19" s="1887"/>
    </row>
    <row r="20" spans="1:9" x14ac:dyDescent="0.2">
      <c r="A20" s="222"/>
      <c r="B20" s="222"/>
      <c r="C20" s="222"/>
      <c r="D20" s="222"/>
      <c r="E20" s="221"/>
    </row>
    <row r="21" spans="1:9" ht="28.5" x14ac:dyDescent="0.2">
      <c r="A21" s="1874" t="s">
        <v>3</v>
      </c>
      <c r="B21" s="1874" t="s">
        <v>6</v>
      </c>
      <c r="C21" s="1874" t="s">
        <v>26</v>
      </c>
      <c r="D21" s="106" t="s">
        <v>149</v>
      </c>
      <c r="E21" s="106" t="s">
        <v>150</v>
      </c>
    </row>
    <row r="22" spans="1:9" x14ac:dyDescent="0.2">
      <c r="A22" s="1874"/>
      <c r="B22" s="1874"/>
      <c r="C22" s="1874"/>
      <c r="D22" s="184" t="s">
        <v>1</v>
      </c>
      <c r="E22" s="184" t="s">
        <v>1</v>
      </c>
    </row>
    <row r="23" spans="1:9" x14ac:dyDescent="0.2">
      <c r="A23" s="86">
        <v>1</v>
      </c>
      <c r="B23" s="85" t="s">
        <v>210</v>
      </c>
      <c r="C23" s="107"/>
      <c r="D23" s="42">
        <f>+'BalanceSheet and P&amp;L 23-24'!D289</f>
        <v>719.79877039999997</v>
      </c>
      <c r="E23" s="42">
        <f>+'BalanceSheet and P&amp;L 23-24'!E289</f>
        <v>558.20255659999998</v>
      </c>
    </row>
    <row r="24" spans="1:9" ht="30" x14ac:dyDescent="0.2">
      <c r="A24" s="86">
        <v>2</v>
      </c>
      <c r="B24" s="85" t="s">
        <v>211</v>
      </c>
      <c r="C24" s="107"/>
      <c r="D24" s="42">
        <f>+'BalanceSheet and P&amp;L 23-24'!D290</f>
        <v>784.35546490000002</v>
      </c>
      <c r="E24" s="42">
        <f>+'BalanceSheet and P&amp;L 23-24'!E290</f>
        <v>595.24605069999996</v>
      </c>
    </row>
    <row r="25" spans="1:9" x14ac:dyDescent="0.2">
      <c r="A25" s="86">
        <v>3</v>
      </c>
      <c r="B25" s="85" t="s">
        <v>183</v>
      </c>
      <c r="C25" s="107"/>
      <c r="D25" s="14"/>
      <c r="E25" s="14"/>
    </row>
    <row r="26" spans="1:9" x14ac:dyDescent="0.2">
      <c r="A26" s="86">
        <v>4</v>
      </c>
      <c r="B26" s="85" t="s">
        <v>183</v>
      </c>
      <c r="C26" s="107"/>
      <c r="D26" s="14"/>
      <c r="E26" s="14"/>
    </row>
    <row r="27" spans="1:9" x14ac:dyDescent="0.2">
      <c r="A27" s="82"/>
      <c r="B27" s="100" t="s">
        <v>7</v>
      </c>
      <c r="C27" s="101"/>
      <c r="D27" s="1812">
        <f>SUM(D23:D26)</f>
        <v>1504.1542353</v>
      </c>
      <c r="E27" s="1812">
        <f>SUM(E23:E26)</f>
        <v>1153.4486072999998</v>
      </c>
      <c r="F27" s="19"/>
      <c r="G27" s="19"/>
      <c r="H27" s="19"/>
      <c r="I27" s="19"/>
    </row>
    <row r="28" spans="1:9" x14ac:dyDescent="0.2">
      <c r="A28" s="105"/>
      <c r="B28" s="1889"/>
      <c r="C28" s="1889"/>
      <c r="D28" s="1889"/>
      <c r="E28" s="1889"/>
    </row>
    <row r="29" spans="1:9" x14ac:dyDescent="0.2">
      <c r="A29" s="86"/>
      <c r="B29" s="82" t="s">
        <v>99</v>
      </c>
      <c r="C29" s="86"/>
      <c r="D29" s="82">
        <f>+'BalanceSheet and P&amp;L 23-24'!D45</f>
        <v>69.678318899999994</v>
      </c>
      <c r="E29" s="82">
        <v>334.28806329999998</v>
      </c>
    </row>
    <row r="32" spans="1:9" x14ac:dyDescent="0.2">
      <c r="A32" s="221" t="s">
        <v>379</v>
      </c>
      <c r="B32" s="3" t="s">
        <v>321</v>
      </c>
    </row>
  </sheetData>
  <mergeCells count="9">
    <mergeCell ref="A2:E2"/>
    <mergeCell ref="B8:B9"/>
    <mergeCell ref="C8:C9"/>
    <mergeCell ref="B28:E28"/>
    <mergeCell ref="A19:D19"/>
    <mergeCell ref="A21:A22"/>
    <mergeCell ref="B21:B22"/>
    <mergeCell ref="C21:C22"/>
    <mergeCell ref="A8:A9"/>
  </mergeCells>
  <printOptions horizontalCentered="1"/>
  <pageMargins left="0.78740157480314965" right="0.39370078740157483"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30</vt:i4>
      </vt:variant>
    </vt:vector>
  </HeadingPairs>
  <TitlesOfParts>
    <vt:vector size="70" baseType="lpstr">
      <vt:lpstr>Index</vt:lpstr>
      <vt:lpstr>Balance sheet</vt:lpstr>
      <vt:lpstr>Profit loss</vt:lpstr>
      <vt:lpstr>CashFlow</vt:lpstr>
      <vt:lpstr>3</vt:lpstr>
      <vt:lpstr>4</vt:lpstr>
      <vt:lpstr>5.1</vt:lpstr>
      <vt:lpstr>5.2</vt:lpstr>
      <vt:lpstr>6 &amp; 7</vt:lpstr>
      <vt:lpstr>8</vt:lpstr>
      <vt:lpstr>9</vt:lpstr>
      <vt:lpstr>10</vt:lpstr>
      <vt:lpstr>11</vt:lpstr>
      <vt:lpstr>12</vt:lpstr>
      <vt:lpstr>13</vt:lpstr>
      <vt:lpstr>14</vt:lpstr>
      <vt:lpstr>15</vt:lpstr>
      <vt:lpstr>16 &amp; 17</vt:lpstr>
      <vt:lpstr>18</vt:lpstr>
      <vt:lpstr>19</vt:lpstr>
      <vt:lpstr>20 &amp; 21</vt:lpstr>
      <vt:lpstr>22 &amp; 22.1</vt:lpstr>
      <vt:lpstr>23</vt:lpstr>
      <vt:lpstr>24 &amp; 25</vt:lpstr>
      <vt:lpstr>26</vt:lpstr>
      <vt:lpstr>27</vt:lpstr>
      <vt:lpstr>28 &amp; 29</vt:lpstr>
      <vt:lpstr>30</vt:lpstr>
      <vt:lpstr>BalanceSheet and P&amp;L 23-24</vt:lpstr>
      <vt:lpstr>Balance sheet  &amp; P&amp;L 22-23</vt:lpstr>
      <vt:lpstr>balance sheet grouping</vt:lpstr>
      <vt:lpstr>Profit and Loss Ac grouping</vt:lpstr>
      <vt:lpstr>Statement of changes in equity</vt:lpstr>
      <vt:lpstr>FA Final</vt:lpstr>
      <vt:lpstr>Note 1A</vt:lpstr>
      <vt:lpstr>CFS</vt:lpstr>
      <vt:lpstr>cwip(2)</vt:lpstr>
      <vt:lpstr>Share Capital</vt:lpstr>
      <vt:lpstr>Rep Terms LT</vt:lpstr>
      <vt:lpstr>Rep Terms ST</vt:lpstr>
      <vt:lpstr>___INDEX_SHEET___ASAP_Utilities</vt:lpstr>
      <vt:lpstr>'10'!Print_Area</vt:lpstr>
      <vt:lpstr>'11'!Print_Area</vt:lpstr>
      <vt:lpstr>'12'!Print_Area</vt:lpstr>
      <vt:lpstr>'13'!Print_Area</vt:lpstr>
      <vt:lpstr>'14'!Print_Area</vt:lpstr>
      <vt:lpstr>'15'!Print_Area</vt:lpstr>
      <vt:lpstr>'16 &amp; 17'!Print_Area</vt:lpstr>
      <vt:lpstr>'18'!Print_Area</vt:lpstr>
      <vt:lpstr>'19'!Print_Area</vt:lpstr>
      <vt:lpstr>'20 &amp; 21'!Print_Area</vt:lpstr>
      <vt:lpstr>'22 &amp; 22.1'!Print_Area</vt:lpstr>
      <vt:lpstr>'23'!Print_Area</vt:lpstr>
      <vt:lpstr>'24 &amp; 25'!Print_Area</vt:lpstr>
      <vt:lpstr>'26'!Print_Area</vt:lpstr>
      <vt:lpstr>'27'!Print_Area</vt:lpstr>
      <vt:lpstr>'28 &amp; 29'!Print_Area</vt:lpstr>
      <vt:lpstr>'3'!Print_Area</vt:lpstr>
      <vt:lpstr>'30'!Print_Area</vt:lpstr>
      <vt:lpstr>'4'!Print_Area</vt:lpstr>
      <vt:lpstr>'5.1'!Print_Area</vt:lpstr>
      <vt:lpstr>'5.2'!Print_Area</vt:lpstr>
      <vt:lpstr>'6 &amp; 7'!Print_Area</vt:lpstr>
      <vt:lpstr>'8'!Print_Area</vt:lpstr>
      <vt:lpstr>'9'!Print_Area</vt:lpstr>
      <vt:lpstr>'Balance sheet'!Print_Area</vt:lpstr>
      <vt:lpstr>CashFlow!Print_Area</vt:lpstr>
      <vt:lpstr>Index!Print_Area</vt:lpstr>
      <vt:lpstr>'Profit loss'!Print_Area</vt:lpstr>
      <vt:lpstr>'30'!Print_Titles</vt:lpstr>
    </vt:vector>
  </TitlesOfParts>
  <Manager>Sanju</Manager>
  <Company>tinda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Balance Sheet of PSEB</dc:title>
  <dc:subject>Balance sheet</dc:subject>
  <dc:creator>Sanu</dc:creator>
  <cp:lastModifiedBy>Prajakta Kulkarni</cp:lastModifiedBy>
  <cp:lastPrinted>2015-12-08T13:30:14Z</cp:lastPrinted>
  <dcterms:created xsi:type="dcterms:W3CDTF">2003-01-27T13:59:02Z</dcterms:created>
  <dcterms:modified xsi:type="dcterms:W3CDTF">2024-11-18T12:27:59Z</dcterms:modified>
  <cp:category>imp</cp:category>
</cp:coreProperties>
</file>